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CH DMS\ID2\415F070B-0284-41BE-A1EB-A596F8C1DCB5\0\5174000-5174999\5174739\L\L\"/>
    </mc:Choice>
  </mc:AlternateContent>
  <bookViews>
    <workbookView xWindow="0" yWindow="0" windowWidth="11835" windowHeight="7725" firstSheet="8" activeTab="11"/>
  </bookViews>
  <sheets>
    <sheet name="CO2 emissions" sheetId="2" r:id="rId1"/>
    <sheet name="H2 demand" sheetId="3" r:id="rId2"/>
    <sheet name="2050 hydrogen vision" sheetId="5" r:id="rId3"/>
    <sheet name="Importance per subsegment 2050" sheetId="13" r:id="rId4"/>
    <sheet name="Roadmap milestones" sheetId="4" r:id="rId5"/>
    <sheet name="T_FCEV sales + HRS required" sheetId="7" r:id="rId6"/>
    <sheet name="T_Rampup fleet + sales" sheetId="6" r:id="rId7"/>
    <sheet name="T_HRS development in Europe" sheetId="8" r:id="rId8"/>
    <sheet name="B_Building energy demand" sheetId="9" r:id="rId9"/>
    <sheet name="I_Industry energy demand" sheetId="10" r:id="rId10"/>
    <sheet name="Investments along value chain" sheetId="11" r:id="rId11"/>
    <sheet name="Market size + jobs" sheetId="12" r:id="rId12"/>
  </sheets>
  <externalReferences>
    <externalReference r:id="rId13"/>
    <externalReference r:id="rId14"/>
    <externalReference r:id="rId15"/>
  </externalReferences>
  <definedNames>
    <definedName name="IQ_CH">110000</definedName>
    <definedName name="IQ_CQ">5000</definedName>
    <definedName name="IQ_CY">10000</definedName>
    <definedName name="IQ_DAILY">500000</definedName>
    <definedName name="IQ_EXPENSE_CODE_" hidden="1">"NOV846"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AMES_REVISION_DATE_" hidden="1">"01/01/0001 00:00:00"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rng_COVER_ContentsList" localSheetId="8">[1]Cover!#REF!</definedName>
    <definedName name="rng_COVER_ContentsList" localSheetId="9">[1]Cover!#REF!</definedName>
    <definedName name="rng_COVER_ContentsList" localSheetId="4">[1]Cover!#REF!</definedName>
    <definedName name="rng_COVER_ContentsList" localSheetId="7">[1]Cover!#REF!</definedName>
    <definedName name="rng_COVER_ContentsList" localSheetId="6">[1]Cover!#REF!</definedName>
    <definedName name="rng_COVER_ContentsList">[1]Cover!#REF!</definedName>
    <definedName name="rng_Cover_Copyright" localSheetId="8">[2]Cover!#REF!</definedName>
    <definedName name="rng_Cover_Copyright" localSheetId="9">[2]Cover!#REF!</definedName>
    <definedName name="rng_Cover_Copyright" localSheetId="4">[2]Cover!#REF!</definedName>
    <definedName name="rng_Cover_Copyright" localSheetId="7">[2]Cover!#REF!</definedName>
    <definedName name="rng_Cover_Copyright" localSheetId="6">[2]Cover!#REF!</definedName>
    <definedName name="rng_Cover_Copyright">[2]Cover!#REF!</definedName>
    <definedName name="rng_VBA_Formats">OFFSET([2]VBA!$H$16, 0, 0, [2]VBA!$C$14)</definedName>
    <definedName name="rng_VBA_LineStyles">OFFSET([2]VBA!$I$16, 0, 0, [2]VBA!$C$14)</definedName>
    <definedName name="rng_VBA_Names">OFFSET([2]VBA!$B$16:$G$16, 0, 0, [2]VBA!$C$14)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2" l="1"/>
  <c r="K5" i="12" s="1"/>
  <c r="I5" i="12"/>
  <c r="I12" i="12" s="1"/>
  <c r="I13" i="12" s="1"/>
  <c r="J5" i="12"/>
  <c r="H6" i="12"/>
  <c r="I6" i="12" s="1"/>
  <c r="J6" i="12"/>
  <c r="H7" i="12"/>
  <c r="K7" i="12" s="1"/>
  <c r="I7" i="12"/>
  <c r="J7" i="12"/>
  <c r="H8" i="12"/>
  <c r="I8" i="12" s="1"/>
  <c r="J8" i="12"/>
  <c r="H9" i="12"/>
  <c r="K9" i="12" s="1"/>
  <c r="I9" i="12"/>
  <c r="J9" i="12"/>
  <c r="D12" i="12"/>
  <c r="J13" i="12" s="1"/>
  <c r="E12" i="12"/>
  <c r="J12" i="12"/>
  <c r="H17" i="12"/>
  <c r="I17" i="12"/>
  <c r="I24" i="12" s="1"/>
  <c r="I25" i="12" s="1"/>
  <c r="J17" i="12"/>
  <c r="J24" i="12" s="1"/>
  <c r="J25" i="12" s="1"/>
  <c r="K17" i="12"/>
  <c r="H18" i="12"/>
  <c r="I18" i="12"/>
  <c r="J18" i="12"/>
  <c r="K18" i="12" s="1"/>
  <c r="H19" i="12"/>
  <c r="I19" i="12"/>
  <c r="J19" i="12"/>
  <c r="K19" i="12"/>
  <c r="H20" i="12"/>
  <c r="I20" i="12"/>
  <c r="J20" i="12"/>
  <c r="K20" i="12" s="1"/>
  <c r="H21" i="12"/>
  <c r="I21" i="12"/>
  <c r="J21" i="12"/>
  <c r="K21" i="12"/>
  <c r="D24" i="12"/>
  <c r="E24" i="12"/>
  <c r="H24" i="12"/>
  <c r="K24" i="12" s="1"/>
  <c r="K25" i="12" s="1"/>
  <c r="N5" i="10"/>
  <c r="O5" i="10"/>
  <c r="P5" i="10"/>
  <c r="N5" i="9"/>
  <c r="O5" i="9"/>
  <c r="P5" i="9"/>
  <c r="D4" i="8"/>
  <c r="D26" i="8" s="1"/>
  <c r="D5" i="8"/>
  <c r="D6" i="8"/>
  <c r="D7" i="8"/>
  <c r="D8" i="8"/>
  <c r="D11" i="8"/>
  <c r="D12" i="8"/>
  <c r="D13" i="8"/>
  <c r="D14" i="8"/>
  <c r="D15" i="8"/>
  <c r="D16" i="8"/>
  <c r="D18" i="8"/>
  <c r="D19" i="8"/>
  <c r="D20" i="8"/>
  <c r="D21" i="8"/>
  <c r="D22" i="8"/>
  <c r="D23" i="8"/>
  <c r="D24" i="8"/>
  <c r="C26" i="8"/>
  <c r="F5" i="6"/>
  <c r="G5" i="6"/>
  <c r="H5" i="6"/>
  <c r="H20" i="6" s="1"/>
  <c r="N20" i="6" s="1"/>
  <c r="I5" i="6"/>
  <c r="J5" i="6"/>
  <c r="K5" i="6"/>
  <c r="K20" i="6" s="1"/>
  <c r="L5" i="6"/>
  <c r="O5" i="6" s="1"/>
  <c r="N5" i="6"/>
  <c r="E6" i="6"/>
  <c r="E21" i="6" s="1"/>
  <c r="N6" i="6"/>
  <c r="O6" i="6"/>
  <c r="E7" i="6"/>
  <c r="N7" i="6"/>
  <c r="O7" i="6"/>
  <c r="E8" i="6"/>
  <c r="N8" i="6"/>
  <c r="O8" i="6"/>
  <c r="E9" i="6"/>
  <c r="N9" i="6"/>
  <c r="O9" i="6"/>
  <c r="E10" i="6"/>
  <c r="E25" i="6" s="1"/>
  <c r="N10" i="6"/>
  <c r="O10" i="6"/>
  <c r="E11" i="6"/>
  <c r="N11" i="6"/>
  <c r="O11" i="6"/>
  <c r="E12" i="6"/>
  <c r="N12" i="6"/>
  <c r="O12" i="6"/>
  <c r="E13" i="6"/>
  <c r="N13" i="6"/>
  <c r="O13" i="6"/>
  <c r="E14" i="6"/>
  <c r="N14" i="6"/>
  <c r="O14" i="6"/>
  <c r="E15" i="6"/>
  <c r="N15" i="6"/>
  <c r="O15" i="6"/>
  <c r="E16" i="6"/>
  <c r="E27" i="6" s="1"/>
  <c r="N16" i="6"/>
  <c r="O16" i="6"/>
  <c r="E17" i="6"/>
  <c r="N17" i="6"/>
  <c r="O17" i="6"/>
  <c r="F20" i="6"/>
  <c r="G20" i="6"/>
  <c r="I20" i="6"/>
  <c r="J20" i="6"/>
  <c r="L20" i="6"/>
  <c r="O20" i="6"/>
  <c r="F21" i="6"/>
  <c r="G21" i="6"/>
  <c r="H21" i="6"/>
  <c r="I21" i="6"/>
  <c r="J21" i="6"/>
  <c r="K21" i="6"/>
  <c r="L21" i="6"/>
  <c r="O21" i="6" s="1"/>
  <c r="N21" i="6"/>
  <c r="F22" i="6"/>
  <c r="G22" i="6"/>
  <c r="H22" i="6"/>
  <c r="I22" i="6"/>
  <c r="J22" i="6"/>
  <c r="K22" i="6"/>
  <c r="L22" i="6"/>
  <c r="N22" i="6"/>
  <c r="O22" i="6"/>
  <c r="F23" i="6"/>
  <c r="G23" i="6"/>
  <c r="H23" i="6"/>
  <c r="I23" i="6"/>
  <c r="J23" i="6"/>
  <c r="K23" i="6"/>
  <c r="L23" i="6"/>
  <c r="O23" i="6" s="1"/>
  <c r="N23" i="6"/>
  <c r="E24" i="6"/>
  <c r="F24" i="6"/>
  <c r="G24" i="6"/>
  <c r="H24" i="6"/>
  <c r="I24" i="6"/>
  <c r="J24" i="6"/>
  <c r="K24" i="6"/>
  <c r="L24" i="6"/>
  <c r="O24" i="6" s="1"/>
  <c r="N24" i="6"/>
  <c r="F25" i="6"/>
  <c r="G25" i="6"/>
  <c r="H25" i="6"/>
  <c r="I25" i="6"/>
  <c r="J25" i="6"/>
  <c r="K25" i="6"/>
  <c r="L25" i="6"/>
  <c r="O25" i="6" s="1"/>
  <c r="N25" i="6"/>
  <c r="F26" i="6"/>
  <c r="G26" i="6"/>
  <c r="H26" i="6"/>
  <c r="I26" i="6"/>
  <c r="J26" i="6"/>
  <c r="K26" i="6"/>
  <c r="L26" i="6"/>
  <c r="N26" i="6"/>
  <c r="O26" i="6"/>
  <c r="F27" i="6"/>
  <c r="G27" i="6"/>
  <c r="H27" i="6"/>
  <c r="I27" i="6"/>
  <c r="J27" i="6"/>
  <c r="K27" i="6"/>
  <c r="L27" i="6"/>
  <c r="O27" i="6" s="1"/>
  <c r="N27" i="6"/>
  <c r="E30" i="6"/>
  <c r="N30" i="6"/>
  <c r="O30" i="6"/>
  <c r="E31" i="6"/>
  <c r="N31" i="6"/>
  <c r="O31" i="6"/>
  <c r="E32" i="6"/>
  <c r="N32" i="6"/>
  <c r="O32" i="6"/>
  <c r="E33" i="6"/>
  <c r="N33" i="6"/>
  <c r="O33" i="6"/>
  <c r="E34" i="6"/>
  <c r="N34" i="6"/>
  <c r="O34" i="6"/>
  <c r="E35" i="6"/>
  <c r="N35" i="6"/>
  <c r="O35" i="6"/>
  <c r="E36" i="6"/>
  <c r="N36" i="6"/>
  <c r="O36" i="6"/>
  <c r="E37" i="6"/>
  <c r="N37" i="6"/>
  <c r="O37" i="6"/>
  <c r="E38" i="6"/>
  <c r="N38" i="6"/>
  <c r="O38" i="6"/>
  <c r="E39" i="6"/>
  <c r="N39" i="6"/>
  <c r="O39" i="6"/>
  <c r="E40" i="6"/>
  <c r="N40" i="6"/>
  <c r="O40" i="6"/>
  <c r="E41" i="6"/>
  <c r="N41" i="6"/>
  <c r="O41" i="6"/>
  <c r="E42" i="6"/>
  <c r="N42" i="6"/>
  <c r="O42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E55" i="6"/>
  <c r="F55" i="6"/>
  <c r="F70" i="6" s="1"/>
  <c r="G55" i="6"/>
  <c r="H55" i="6"/>
  <c r="H70" i="6" s="1"/>
  <c r="N70" i="6" s="1"/>
  <c r="I55" i="6"/>
  <c r="J55" i="6"/>
  <c r="K55" i="6"/>
  <c r="K70" i="6" s="1"/>
  <c r="L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E70" i="6"/>
  <c r="G70" i="6"/>
  <c r="I70" i="6"/>
  <c r="J70" i="6"/>
  <c r="L70" i="6"/>
  <c r="O70" i="6" s="1"/>
  <c r="E71" i="6"/>
  <c r="F71" i="6"/>
  <c r="G71" i="6"/>
  <c r="H71" i="6"/>
  <c r="N71" i="6" s="1"/>
  <c r="I71" i="6"/>
  <c r="J71" i="6"/>
  <c r="K71" i="6"/>
  <c r="L71" i="6"/>
  <c r="O71" i="6" s="1"/>
  <c r="E72" i="6"/>
  <c r="F72" i="6"/>
  <c r="G72" i="6"/>
  <c r="H72" i="6"/>
  <c r="N72" i="6" s="1"/>
  <c r="I72" i="6"/>
  <c r="J72" i="6"/>
  <c r="K72" i="6"/>
  <c r="L72" i="6"/>
  <c r="O72" i="6"/>
  <c r="E73" i="6"/>
  <c r="F73" i="6"/>
  <c r="G73" i="6"/>
  <c r="H73" i="6"/>
  <c r="N73" i="6" s="1"/>
  <c r="I73" i="6"/>
  <c r="J73" i="6"/>
  <c r="K73" i="6"/>
  <c r="L73" i="6"/>
  <c r="O73" i="6"/>
  <c r="E74" i="6"/>
  <c r="F74" i="6"/>
  <c r="G74" i="6"/>
  <c r="H74" i="6"/>
  <c r="I74" i="6"/>
  <c r="J74" i="6"/>
  <c r="K74" i="6"/>
  <c r="L74" i="6"/>
  <c r="O74" i="6" s="1"/>
  <c r="N74" i="6"/>
  <c r="E75" i="6"/>
  <c r="F75" i="6"/>
  <c r="G75" i="6"/>
  <c r="H75" i="6"/>
  <c r="N75" i="6" s="1"/>
  <c r="I75" i="6"/>
  <c r="J75" i="6"/>
  <c r="K75" i="6"/>
  <c r="L75" i="6"/>
  <c r="O75" i="6" s="1"/>
  <c r="E76" i="6"/>
  <c r="F76" i="6"/>
  <c r="G76" i="6"/>
  <c r="H76" i="6"/>
  <c r="N76" i="6" s="1"/>
  <c r="I76" i="6"/>
  <c r="J76" i="6"/>
  <c r="K76" i="6"/>
  <c r="L76" i="6"/>
  <c r="O76" i="6"/>
  <c r="E77" i="6"/>
  <c r="F77" i="6"/>
  <c r="G77" i="6"/>
  <c r="H77" i="6"/>
  <c r="N77" i="6" s="1"/>
  <c r="I77" i="6"/>
  <c r="J77" i="6"/>
  <c r="K77" i="6"/>
  <c r="L77" i="6"/>
  <c r="O77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E32" i="3"/>
  <c r="F32" i="3"/>
  <c r="G32" i="3"/>
  <c r="Q32" i="3"/>
  <c r="R32" i="3"/>
  <c r="S32" i="3"/>
  <c r="E35" i="3"/>
  <c r="F35" i="3"/>
  <c r="G35" i="3"/>
  <c r="G33" i="3" s="1"/>
  <c r="Q35" i="3"/>
  <c r="Q33" i="3" s="1"/>
  <c r="R35" i="3"/>
  <c r="R33" i="3" s="1"/>
  <c r="S35" i="3"/>
  <c r="S33" i="3" s="1"/>
  <c r="E36" i="3"/>
  <c r="F36" i="3"/>
  <c r="G36" i="3"/>
  <c r="Q36" i="3"/>
  <c r="R36" i="3"/>
  <c r="S36" i="3"/>
  <c r="E37" i="3"/>
  <c r="F37" i="3"/>
  <c r="G37" i="3"/>
  <c r="Q37" i="3"/>
  <c r="R37" i="3"/>
  <c r="S37" i="3"/>
  <c r="E38" i="3"/>
  <c r="E33" i="3" s="1"/>
  <c r="F38" i="3"/>
  <c r="F33" i="3" s="1"/>
  <c r="G38" i="3"/>
  <c r="Q38" i="3"/>
  <c r="R38" i="3"/>
  <c r="S38" i="3"/>
  <c r="E39" i="3"/>
  <c r="F39" i="3"/>
  <c r="G39" i="3"/>
  <c r="Q39" i="3"/>
  <c r="R39" i="3"/>
  <c r="S39" i="3"/>
  <c r="E40" i="3"/>
  <c r="F40" i="3"/>
  <c r="G40" i="3"/>
  <c r="Q40" i="3"/>
  <c r="R40" i="3"/>
  <c r="S40" i="3"/>
  <c r="F4" i="2"/>
  <c r="G4" i="2"/>
  <c r="H4" i="2"/>
  <c r="I4" i="2"/>
  <c r="J4" i="2"/>
  <c r="K4" i="2"/>
  <c r="L4" i="2"/>
  <c r="M4" i="2"/>
  <c r="F57" i="2"/>
  <c r="G57" i="2"/>
  <c r="H57" i="2"/>
  <c r="I57" i="2"/>
  <c r="I92" i="2" s="1"/>
  <c r="I93" i="2" s="1"/>
  <c r="J57" i="2"/>
  <c r="J92" i="2" s="1"/>
  <c r="J93" i="2" s="1"/>
  <c r="K57" i="2"/>
  <c r="L57" i="2"/>
  <c r="M57" i="2"/>
  <c r="M92" i="2" s="1"/>
  <c r="M93" i="2" s="1"/>
  <c r="G87" i="2"/>
  <c r="G90" i="2" s="1"/>
  <c r="G91" i="2" s="1"/>
  <c r="G88" i="2"/>
  <c r="H90" i="2"/>
  <c r="H91" i="2" s="1"/>
  <c r="I90" i="2"/>
  <c r="I91" i="2" s="1"/>
  <c r="J90" i="2"/>
  <c r="K90" i="2"/>
  <c r="L90" i="2"/>
  <c r="L91" i="2" s="1"/>
  <c r="M90" i="2"/>
  <c r="M91" i="2" s="1"/>
  <c r="J91" i="2"/>
  <c r="K91" i="2"/>
  <c r="G92" i="2"/>
  <c r="H92" i="2"/>
  <c r="H93" i="2" s="1"/>
  <c r="K92" i="2"/>
  <c r="K93" i="2" s="1"/>
  <c r="L92" i="2"/>
  <c r="L93" i="2"/>
  <c r="F102" i="2"/>
  <c r="H102" i="2"/>
  <c r="K102" i="2"/>
  <c r="G103" i="2"/>
  <c r="G102" i="2" s="1"/>
  <c r="I104" i="2"/>
  <c r="I105" i="2"/>
  <c r="I106" i="2"/>
  <c r="I107" i="2"/>
  <c r="I108" i="2"/>
  <c r="I102" i="2" s="1"/>
  <c r="J102" i="2" s="1"/>
  <c r="I109" i="2"/>
  <c r="I110" i="2"/>
  <c r="I111" i="2"/>
  <c r="I112" i="2"/>
  <c r="I113" i="2"/>
  <c r="I114" i="2"/>
  <c r="I115" i="2"/>
  <c r="I116" i="2"/>
  <c r="I117" i="2"/>
  <c r="I118" i="2"/>
  <c r="I119" i="2"/>
  <c r="I120" i="2"/>
  <c r="E5" i="6" l="1"/>
  <c r="E20" i="6" s="1"/>
  <c r="E22" i="6"/>
  <c r="E26" i="6"/>
  <c r="K6" i="12"/>
  <c r="H12" i="12"/>
  <c r="H25" i="12"/>
  <c r="K8" i="12"/>
  <c r="N55" i="6"/>
  <c r="E23" i="6"/>
  <c r="G93" i="2"/>
  <c r="H13" i="12" l="1"/>
  <c r="K12" i="12"/>
  <c r="K13" i="12" s="1"/>
</calcChain>
</file>

<file path=xl/sharedStrings.xml><?xml version="1.0" encoding="utf-8"?>
<sst xmlns="http://schemas.openxmlformats.org/spreadsheetml/2006/main" count="935" uniqueCount="233">
  <si>
    <t>Mt</t>
  </si>
  <si>
    <t>Other</t>
  </si>
  <si>
    <t>New - CCU (methanol, olefins, BTX)</t>
  </si>
  <si>
    <t>New - Steelmaking (e.g. DRI)</t>
  </si>
  <si>
    <t>Existing - Metal processing</t>
  </si>
  <si>
    <t>Existing - Refining</t>
  </si>
  <si>
    <t>Existing - Chemicals (ammonia, methanol)</t>
  </si>
  <si>
    <t>Low-grade heat</t>
  </si>
  <si>
    <t>Medium-grade heat</t>
  </si>
  <si>
    <t>High-grade heat</t>
  </si>
  <si>
    <t>Heating and power for buildings</t>
  </si>
  <si>
    <t>Rail</t>
  </si>
  <si>
    <t>Shipping</t>
  </si>
  <si>
    <t>Aviation</t>
  </si>
  <si>
    <t>Forklifts</t>
  </si>
  <si>
    <t>Buses and trucks</t>
  </si>
  <si>
    <t>Taxis and vans</t>
  </si>
  <si>
    <t>Passenger vehicles</t>
  </si>
  <si>
    <t>2/3 wheelers</t>
  </si>
  <si>
    <t>Power generation</t>
  </si>
  <si>
    <t>Sum</t>
  </si>
  <si>
    <t>CO2 emissions in 2DS in 2050</t>
  </si>
  <si>
    <t>Remaining gap</t>
  </si>
  <si>
    <t>Ambitious scenario</t>
  </si>
  <si>
    <t>CO2 emissions
in 2050</t>
  </si>
  <si>
    <t>Reduction in RTS</t>
  </si>
  <si>
    <t>CO2 emissions
in 2015</t>
  </si>
  <si>
    <t>Unit</t>
  </si>
  <si>
    <t>Segment</t>
  </si>
  <si>
    <t>Input for chart</t>
  </si>
  <si>
    <t>%</t>
  </si>
  <si>
    <t>Share of gap closed by H2</t>
  </si>
  <si>
    <t>CO2 abated</t>
  </si>
  <si>
    <t>Gap closed by hydrogen</t>
  </si>
  <si>
    <t>Share of gap relative to RTS</t>
  </si>
  <si>
    <t>Gap to be closed</t>
  </si>
  <si>
    <t>IEA 2DS scenario</t>
  </si>
  <si>
    <t>CO2 emissions</t>
  </si>
  <si>
    <t>CO2 emissions allowed in 2 DS</t>
  </si>
  <si>
    <t>IEA RTS scenario</t>
  </si>
  <si>
    <t>CO2 emissions in the RTS</t>
  </si>
  <si>
    <t>Total gap between IEA scenarios</t>
  </si>
  <si>
    <t>Total feedstock</t>
  </si>
  <si>
    <t>Existing feedstock uses</t>
  </si>
  <si>
    <t>7b</t>
  </si>
  <si>
    <t>New feedstock uses - DRI</t>
  </si>
  <si>
    <t>7a-2</t>
  </si>
  <si>
    <t>New feedstock uses - CCU</t>
  </si>
  <si>
    <t>7a-1</t>
  </si>
  <si>
    <t>Power</t>
  </si>
  <si>
    <t>Heating</t>
  </si>
  <si>
    <t>Industry energy</t>
  </si>
  <si>
    <t>Trucks</t>
  </si>
  <si>
    <t>Buses</t>
  </si>
  <si>
    <t>Vans/LCVs</t>
  </si>
  <si>
    <t>Passenger cars - Taxis</t>
  </si>
  <si>
    <t>Passenger cars - w/o taxis</t>
  </si>
  <si>
    <t>Transportation</t>
  </si>
  <si>
    <t>CO2 REDUCTION / ABATEMENT</t>
  </si>
  <si>
    <t>Mt CO2/EJ H2</t>
  </si>
  <si>
    <t>CO2 emissions rel. to production mix</t>
  </si>
  <si>
    <t>kg CO2/MJ H2</t>
  </si>
  <si>
    <t>kg CO2/kg H2</t>
  </si>
  <si>
    <t>CO2 EMISSIONS OF H2</t>
  </si>
  <si>
    <t>PJ</t>
  </si>
  <si>
    <t>H2 demand</t>
  </si>
  <si>
    <t>ANNUAL H2 DEMAND</t>
  </si>
  <si>
    <t>Comments</t>
  </si>
  <si>
    <t>Category</t>
  </si>
  <si>
    <t>CO2 emission scenarios and abatement potential of H2</t>
  </si>
  <si>
    <t>NEW</t>
  </si>
  <si>
    <t>TWh</t>
  </si>
  <si>
    <t>Existing feedstock</t>
  </si>
  <si>
    <t>New feedstock</t>
  </si>
  <si>
    <t>Power generation and buffering</t>
  </si>
  <si>
    <t>Thereof H2</t>
  </si>
  <si>
    <t>Final energy demand</t>
  </si>
  <si>
    <t>% hydrogen</t>
  </si>
  <si>
    <t>Total final energy demand incl. feedstock</t>
  </si>
  <si>
    <t>Total hydrogen demand</t>
  </si>
  <si>
    <t>New feedstock uses</t>
  </si>
  <si>
    <t>7a</t>
  </si>
  <si>
    <t>Buffering</t>
  </si>
  <si>
    <t>BAU scenario</t>
  </si>
  <si>
    <t>EU energy demand supplied with hydrogen</t>
  </si>
  <si>
    <t>Carbon-free production in all applications</t>
  </si>
  <si>
    <t>thsd</t>
  </si>
  <si>
    <t>Deployment of ... Fuel cell CHPs</t>
  </si>
  <si>
    <t>m</t>
  </si>
  <si>
    <t>... meaning ... households are heated.</t>
  </si>
  <si>
    <t>... equivalent to ...</t>
  </si>
  <si>
    <t>There are ... of natural gas (by volume) replaced by hydrogen</t>
  </si>
  <si>
    <t>number</t>
  </si>
  <si>
    <t>There will be ... Diesel trains replaced with FC trains</t>
  </si>
  <si>
    <t>There will be ... Trucks and buses ...</t>
  </si>
  <si>
    <t>One in ... Passenger vehicles will be FCEV</t>
  </si>
  <si>
    <t>One in ... Light commercial vehicles (LCVs) will be FCEV</t>
  </si>
  <si>
    <t>Input for chart (rounded)</t>
  </si>
  <si>
    <t>Roadmap milestones</t>
  </si>
  <si>
    <t>million jobs (hydrogen equipment, supplier industries)</t>
  </si>
  <si>
    <t>Job creation potential</t>
  </si>
  <si>
    <t>Reduction in Nox relative to road transport</t>
  </si>
  <si>
    <t>Reduction potential for local emissions</t>
  </si>
  <si>
    <t>EUR bn annual revenue (hydrogen and equipment)</t>
  </si>
  <si>
    <t>Revenue potential from hydrogen</t>
  </si>
  <si>
    <t>Mt of annual CO2 abatement</t>
  </si>
  <si>
    <t>CO2 abatement potential of hydrogen</t>
  </si>
  <si>
    <t>% of final energy demand</t>
  </si>
  <si>
    <t>Hydrogen in final energy demand</t>
  </si>
  <si>
    <t>2050 hydrogen vision</t>
  </si>
  <si>
    <t>Taxis</t>
  </si>
  <si>
    <t>Larger cars</t>
  </si>
  <si>
    <t>Small cars</t>
  </si>
  <si>
    <t>Passenger cars</t>
  </si>
  <si>
    <t>Captive trucks</t>
  </si>
  <si>
    <t>Heavy-duty trucks</t>
  </si>
  <si>
    <t>Medium-duty trucks</t>
  </si>
  <si>
    <t>Light-duty trucks</t>
  </si>
  <si>
    <t>Small buses</t>
  </si>
  <si>
    <t>City buses</t>
  </si>
  <si>
    <t>Coaches</t>
  </si>
  <si>
    <t>E+ cars</t>
  </si>
  <si>
    <t>C/D cars</t>
  </si>
  <si>
    <t>A/B cars</t>
  </si>
  <si>
    <t>Sales %</t>
  </si>
  <si>
    <t>Hydrogen car sales</t>
  </si>
  <si>
    <t>Hydrogen car share of fleet</t>
  </si>
  <si>
    <t>Hydrogen car fleet</t>
  </si>
  <si>
    <t>Category/segment</t>
  </si>
  <si>
    <t>Transportation - Rampup of FCEV fleet and sales</t>
  </si>
  <si>
    <t>EUR bn</t>
  </si>
  <si>
    <t>Cumulative investment need for HRS</t>
  </si>
  <si>
    <t>Number of HRS (1,000 kg)</t>
  </si>
  <si>
    <t>Required HRS in ambitious scenario</t>
  </si>
  <si>
    <t>million</t>
  </si>
  <si>
    <t>FCEV sales in BAU scenario</t>
  </si>
  <si>
    <t>FCEV sales in ambitious scenario</t>
  </si>
  <si>
    <t>Transportation - Development of FCEV sales and HRS</t>
  </si>
  <si>
    <t>Portugal</t>
  </si>
  <si>
    <t>Hungary</t>
  </si>
  <si>
    <t>Bulgaria</t>
  </si>
  <si>
    <t>Estonia</t>
  </si>
  <si>
    <t>H2stations.org</t>
  </si>
  <si>
    <t>Latvia</t>
  </si>
  <si>
    <t>Luxembourg</t>
  </si>
  <si>
    <t>Andorra</t>
  </si>
  <si>
    <t>Germany</t>
  </si>
  <si>
    <t>Iceland</t>
  </si>
  <si>
    <t>Finland</t>
  </si>
  <si>
    <t>Norway</t>
  </si>
  <si>
    <t>Sweden</t>
  </si>
  <si>
    <t>Denmark</t>
  </si>
  <si>
    <t>Press announcement</t>
  </si>
  <si>
    <t>Belgium</t>
  </si>
  <si>
    <t>Netherlands</t>
  </si>
  <si>
    <t>Switzerland</t>
  </si>
  <si>
    <t>Austria</t>
  </si>
  <si>
    <t xml:space="preserve">Czech Republic </t>
  </si>
  <si>
    <t>Italy</t>
  </si>
  <si>
    <t>UK</t>
  </si>
  <si>
    <t>Plan Hydrogène</t>
  </si>
  <si>
    <t>France</t>
  </si>
  <si>
    <t>Spain</t>
  </si>
  <si>
    <t>Source</t>
  </si>
  <si>
    <t>Additional targets</t>
  </si>
  <si>
    <t>2025 country targets for EU Commission</t>
  </si>
  <si>
    <t>HRS announced and planned until 2025</t>
  </si>
  <si>
    <t>HRS in operation</t>
  </si>
  <si>
    <t>Country</t>
  </si>
  <si>
    <t>Households</t>
  </si>
  <si>
    <t>Households receiving pure H2</t>
  </si>
  <si>
    <t>Households receiving blended H2</t>
  </si>
  <si>
    <t>H2 adoption rates</t>
  </si>
  <si>
    <t>Baseline</t>
  </si>
  <si>
    <t>Heating and power for buildings - Adoption rates and hydrogen demand</t>
  </si>
  <si>
    <t>Industry energy - Adoption rates and hydrogen demand</t>
  </si>
  <si>
    <t>Buildings heat and power</t>
  </si>
  <si>
    <t>Infrastructure</t>
  </si>
  <si>
    <t>R&amp;D and manufacturing</t>
  </si>
  <si>
    <t>Hydrogen production</t>
  </si>
  <si>
    <t>Hydrogen storage</t>
  </si>
  <si>
    <t>Hydrogen distribution and retail</t>
  </si>
  <si>
    <t>Hydrogen</t>
  </si>
  <si>
    <t>End-use applications</t>
  </si>
  <si>
    <t>OEM</t>
  </si>
  <si>
    <t>Supplier</t>
  </si>
  <si>
    <t>Cumulative investments in hydrogen production, storage, and distribution 
(2018-2030)</t>
  </si>
  <si>
    <t>Annual revenues in end-uses (2030)</t>
  </si>
  <si>
    <t>Cumulative investmens in manufacturing equipment (2018-2030)</t>
  </si>
  <si>
    <t>Investments along the value chain until 2030</t>
  </si>
  <si>
    <t>Number</t>
  </si>
  <si>
    <t>Jobs</t>
  </si>
  <si>
    <t>EUR m</t>
  </si>
  <si>
    <t>Total</t>
  </si>
  <si>
    <t>Aftermarket services and new business models</t>
  </si>
  <si>
    <t>Manufacturing of end-use applications (transport, industry buildings, power)</t>
  </si>
  <si>
    <t xml:space="preserve">Manufacturing of specialized materials and components </t>
  </si>
  <si>
    <t>H2 production, distribution, infrastructure and retail</t>
  </si>
  <si>
    <t xml:space="preserve">Manufacturing of H2 production and distribution equipment </t>
  </si>
  <si>
    <t>EU Industry</t>
  </si>
  <si>
    <t>Exports</t>
  </si>
  <si>
    <t>Imports</t>
  </si>
  <si>
    <t>Domestic market 
(EU-EU)</t>
  </si>
  <si>
    <t>"Fair market share" of EU players in world ex EU</t>
  </si>
  <si>
    <t>"Fair market share" of EU players in EU</t>
  </si>
  <si>
    <t>Global 
market size</t>
  </si>
  <si>
    <t>EU 
market size</t>
  </si>
  <si>
    <t>Value chain steps</t>
  </si>
  <si>
    <t>Percent of total power generation from natural gas</t>
  </si>
  <si>
    <t>Flexible power generation from hydrogen</t>
  </si>
  <si>
    <t xml:space="preserve">Percent of total power generation </t>
  </si>
  <si>
    <t>Power generation from hydrogen</t>
  </si>
  <si>
    <t>Percent of total feedstock for production</t>
  </si>
  <si>
    <t>CCU (methanol, olefins, BTX)</t>
  </si>
  <si>
    <t>Industry feedstock</t>
  </si>
  <si>
    <t>Feedstock in steelmaking</t>
  </si>
  <si>
    <t>Refining</t>
  </si>
  <si>
    <t>Ammonia, methanol</t>
  </si>
  <si>
    <t>Percent of final energy demand</t>
  </si>
  <si>
    <t>Percent of total heating demand</t>
  </si>
  <si>
    <t>Pure hydrogen grids for heating</t>
  </si>
  <si>
    <t>Hydrogen blending for heating</t>
  </si>
  <si>
    <t>Percent of total fleet</t>
  </si>
  <si>
    <t>Ships and aviation</t>
  </si>
  <si>
    <t>Trains</t>
  </si>
  <si>
    <t>Light commercial vehicles</t>
  </si>
  <si>
    <t>Trucks and buses</t>
  </si>
  <si>
    <t>Large cars (fleets) and taxis</t>
  </si>
  <si>
    <t>Relative importance</t>
  </si>
  <si>
    <t>Key subsegments</t>
  </si>
  <si>
    <t>Relative importance per key subsegment in 2050</t>
  </si>
  <si>
    <t>Transportation - Development of HRS infrastructure in Europe</t>
  </si>
  <si>
    <t>Market size and job potential in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</si>
</sst>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0.0"/>
    <numFmt numFmtId="169" formatCode="0.00000"/>
    <numFmt numFmtId="170" formatCode="#\ ##0"/>
    <numFmt numFmtId="171" formatCode="0.000000"/>
    <numFmt numFmtId="172" formatCode="_-* #,##0.000\ _€_-;\-* #,##0.000\ _€_-;_-* &quot;-&quot;??\ _€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  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/>
  </cellStyleXfs>
  <cellXfs count="208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/>
    <xf numFmtId="2" fontId="5" fillId="0" borderId="0" xfId="0" applyNumberFormat="1" applyFont="1" applyAlignment="1">
      <alignment vertical="top"/>
    </xf>
    <xf numFmtId="0" fontId="6" fillId="0" borderId="0" xfId="0" applyFont="1" applyFill="1" applyAlignment="1">
      <alignment horizontal="left" vertical="top" indent="2"/>
    </xf>
    <xf numFmtId="0" fontId="6" fillId="0" borderId="0" xfId="0" applyFont="1" applyFill="1" applyAlignment="1">
      <alignment horizontal="left" vertical="top" wrapText="1" indent="2"/>
    </xf>
    <xf numFmtId="2" fontId="7" fillId="0" borderId="0" xfId="0" applyNumberFormat="1" applyFont="1" applyAlignment="1">
      <alignment vertical="top"/>
    </xf>
    <xf numFmtId="0" fontId="8" fillId="0" borderId="0" xfId="0" applyFont="1" applyFill="1" applyAlignment="1">
      <alignment vertical="top"/>
    </xf>
    <xf numFmtId="2" fontId="9" fillId="0" borderId="0" xfId="0" applyNumberFormat="1" applyFont="1" applyFill="1" applyAlignment="1">
      <alignment vertical="top"/>
    </xf>
    <xf numFmtId="2" fontId="0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left" vertical="top" indent="2"/>
    </xf>
    <xf numFmtId="0" fontId="0" fillId="0" borderId="0" xfId="0" applyFont="1" applyFill="1" applyAlignment="1">
      <alignment vertical="top"/>
    </xf>
    <xf numFmtId="1" fontId="0" fillId="0" borderId="0" xfId="0" applyNumberFormat="1" applyFont="1" applyAlignment="1">
      <alignment vertical="top"/>
    </xf>
    <xf numFmtId="0" fontId="6" fillId="0" borderId="0" xfId="3" applyNumberFormat="1" applyFont="1" applyAlignment="1">
      <alignment horizontal="left"/>
    </xf>
    <xf numFmtId="2" fontId="0" fillId="0" borderId="0" xfId="0" applyNumberFormat="1" applyFont="1" applyFill="1" applyAlignment="1">
      <alignment horizontal="left" vertical="top" indent="2"/>
    </xf>
    <xf numFmtId="9" fontId="0" fillId="0" borderId="0" xfId="2" applyFont="1" applyAlignment="1">
      <alignment vertical="top"/>
    </xf>
    <xf numFmtId="0" fontId="6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165" fontId="0" fillId="0" borderId="0" xfId="0" applyNumberFormat="1" applyFont="1" applyAlignment="1">
      <alignment vertical="top"/>
    </xf>
    <xf numFmtId="0" fontId="0" fillId="0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vertical="top"/>
    </xf>
    <xf numFmtId="164" fontId="0" fillId="0" borderId="0" xfId="0" applyNumberFormat="1" applyFont="1" applyAlignment="1">
      <alignment vertical="top"/>
    </xf>
    <xf numFmtId="9" fontId="3" fillId="0" borderId="0" xfId="2" applyFont="1" applyAlignment="1">
      <alignment vertical="top"/>
    </xf>
    <xf numFmtId="165" fontId="0" fillId="0" borderId="0" xfId="1" applyNumberFormat="1" applyFont="1" applyAlignment="1">
      <alignment vertical="top"/>
    </xf>
    <xf numFmtId="165" fontId="11" fillId="0" borderId="0" xfId="1" applyNumberFormat="1" applyFont="1" applyAlignment="1">
      <alignment vertical="top"/>
    </xf>
    <xf numFmtId="0" fontId="4" fillId="0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 applyFont="1" applyFill="1"/>
    <xf numFmtId="0" fontId="8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top"/>
    </xf>
    <xf numFmtId="0" fontId="6" fillId="0" borderId="0" xfId="0" applyFont="1" applyAlignment="1">
      <alignment vertical="top"/>
    </xf>
    <xf numFmtId="166" fontId="0" fillId="0" borderId="0" xfId="2" applyNumberFormat="1" applyFont="1" applyFill="1" applyAlignment="1">
      <alignment vertical="top"/>
    </xf>
    <xf numFmtId="2" fontId="0" fillId="0" borderId="0" xfId="2" applyNumberFormat="1" applyFont="1" applyAlignment="1">
      <alignment vertical="top"/>
    </xf>
    <xf numFmtId="0" fontId="2" fillId="0" borderId="0" xfId="0" applyFont="1" applyFill="1" applyAlignment="1">
      <alignment vertical="top"/>
    </xf>
    <xf numFmtId="1" fontId="0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5" fillId="5" borderId="0" xfId="0" applyFont="1" applyFill="1" applyAlignment="1">
      <alignment vertical="top"/>
    </xf>
    <xf numFmtId="1" fontId="3" fillId="5" borderId="0" xfId="0" applyNumberFormat="1" applyFont="1" applyFill="1" applyAlignment="1">
      <alignment vertical="top"/>
    </xf>
    <xf numFmtId="0" fontId="0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165" fontId="3" fillId="0" borderId="0" xfId="1" applyNumberFormat="1" applyFont="1" applyAlignment="1">
      <alignment vertical="top"/>
    </xf>
    <xf numFmtId="0" fontId="3" fillId="0" borderId="0" xfId="0" applyFont="1" applyFill="1" applyAlignment="1">
      <alignment vertical="top"/>
    </xf>
    <xf numFmtId="165" fontId="3" fillId="0" borderId="0" xfId="1" applyNumberFormat="1" applyFont="1" applyFill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9" fontId="0" fillId="0" borderId="0" xfId="2" applyFont="1" applyAlignment="1">
      <alignment horizontal="left" vertical="top"/>
    </xf>
    <xf numFmtId="165" fontId="0" fillId="0" borderId="0" xfId="1" applyNumberFormat="1" applyFont="1" applyAlignment="1">
      <alignment horizontal="right" vertical="top"/>
    </xf>
    <xf numFmtId="0" fontId="6" fillId="0" borderId="0" xfId="4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 vertical="top"/>
    </xf>
    <xf numFmtId="9" fontId="0" fillId="0" borderId="0" xfId="2" applyFont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9" fontId="5" fillId="0" borderId="0" xfId="2" applyFont="1" applyAlignment="1">
      <alignment horizontal="left" vertical="top"/>
    </xf>
    <xf numFmtId="0" fontId="5" fillId="0" borderId="0" xfId="0" applyFont="1" applyAlignment="1">
      <alignment horizontal="left" vertical="top"/>
    </xf>
    <xf numFmtId="9" fontId="5" fillId="0" borderId="0" xfId="2" applyFont="1" applyAlignment="1">
      <alignment horizontal="right" vertical="top"/>
    </xf>
    <xf numFmtId="0" fontId="0" fillId="0" borderId="0" xfId="0" applyFont="1" applyFill="1" applyAlignment="1">
      <alignment horizontal="left" vertical="top"/>
    </xf>
    <xf numFmtId="2" fontId="0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1" fontId="0" fillId="0" borderId="0" xfId="0" applyNumberFormat="1" applyFont="1" applyAlignment="1">
      <alignment horizontal="right" vertical="top"/>
    </xf>
    <xf numFmtId="165" fontId="0" fillId="0" borderId="0" xfId="1" applyNumberFormat="1" applyFont="1" applyFill="1" applyAlignment="1">
      <alignment horizontal="right" vertical="top"/>
    </xf>
    <xf numFmtId="0" fontId="0" fillId="2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9" fontId="11" fillId="0" borderId="0" xfId="2" applyFont="1" applyAlignment="1">
      <alignment horizontal="left"/>
    </xf>
    <xf numFmtId="9" fontId="13" fillId="0" borderId="0" xfId="2" applyNumberFormat="1" applyFont="1" applyAlignment="1">
      <alignment horizontal="left"/>
    </xf>
    <xf numFmtId="9" fontId="11" fillId="0" borderId="0" xfId="2" applyNumberFormat="1" applyFont="1" applyAlignment="1">
      <alignment horizontal="left"/>
    </xf>
    <xf numFmtId="9" fontId="1" fillId="0" borderId="0" xfId="2" applyNumberFormat="1" applyFont="1" applyAlignment="1">
      <alignment horizontal="right"/>
    </xf>
    <xf numFmtId="9" fontId="0" fillId="0" borderId="0" xfId="0" applyNumberFormat="1" applyFont="1"/>
    <xf numFmtId="9" fontId="0" fillId="0" borderId="0" xfId="2" applyFont="1"/>
    <xf numFmtId="165" fontId="1" fillId="0" borderId="0" xfId="1" applyNumberFormat="1" applyFont="1" applyAlignment="1">
      <alignment horizontal="left"/>
    </xf>
    <xf numFmtId="167" fontId="0" fillId="0" borderId="0" xfId="1" applyNumberFormat="1" applyFont="1"/>
    <xf numFmtId="9" fontId="0" fillId="0" borderId="0" xfId="2" applyNumberFormat="1" applyFont="1"/>
    <xf numFmtId="167" fontId="0" fillId="0" borderId="0" xfId="1" applyNumberFormat="1" applyFont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readingOrder="1"/>
    </xf>
    <xf numFmtId="9" fontId="13" fillId="0" borderId="0" xfId="2" applyFont="1"/>
    <xf numFmtId="0" fontId="3" fillId="0" borderId="0" xfId="0" applyFont="1"/>
    <xf numFmtId="0" fontId="5" fillId="0" borderId="0" xfId="0" applyFont="1"/>
    <xf numFmtId="9" fontId="5" fillId="0" borderId="0" xfId="2" applyFont="1"/>
    <xf numFmtId="1" fontId="0" fillId="0" borderId="0" xfId="0" applyNumberFormat="1"/>
    <xf numFmtId="168" fontId="0" fillId="0" borderId="0" xfId="0" applyNumberFormat="1" applyFont="1"/>
    <xf numFmtId="9" fontId="1" fillId="0" borderId="0" xfId="2" applyFont="1"/>
    <xf numFmtId="1" fontId="0" fillId="0" borderId="0" xfId="0" applyNumberFormat="1" applyFont="1" applyFill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/>
    <xf numFmtId="168" fontId="3" fillId="0" borderId="0" xfId="0" applyNumberFormat="1" applyFont="1" applyFill="1"/>
    <xf numFmtId="168" fontId="0" fillId="0" borderId="0" xfId="0" applyNumberForma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9" fontId="3" fillId="2" borderId="0" xfId="2" applyNumberFormat="1" applyFont="1" applyFill="1"/>
    <xf numFmtId="9" fontId="3" fillId="0" borderId="0" xfId="2" applyFont="1"/>
    <xf numFmtId="9" fontId="0" fillId="2" borderId="0" xfId="2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9" fontId="3" fillId="2" borderId="0" xfId="2" applyFont="1" applyFill="1"/>
    <xf numFmtId="0" fontId="8" fillId="0" borderId="0" xfId="0" applyFont="1" applyFill="1"/>
    <xf numFmtId="168" fontId="0" fillId="0" borderId="0" xfId="0" applyNumberFormat="1"/>
    <xf numFmtId="0" fontId="0" fillId="0" borderId="0" xfId="0" applyFont="1" applyFill="1" applyAlignment="1">
      <alignment horizontal="right"/>
    </xf>
    <xf numFmtId="9" fontId="0" fillId="0" borderId="0" xfId="2" applyFont="1" applyFill="1"/>
    <xf numFmtId="0" fontId="0" fillId="7" borderId="0" xfId="0" applyFill="1"/>
    <xf numFmtId="0" fontId="3" fillId="7" borderId="0" xfId="0" applyFont="1" applyFill="1"/>
    <xf numFmtId="169" fontId="0" fillId="0" borderId="0" xfId="0" applyNumberFormat="1"/>
    <xf numFmtId="0" fontId="8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top"/>
    </xf>
    <xf numFmtId="0" fontId="15" fillId="0" borderId="0" xfId="0" applyFont="1" applyAlignment="1">
      <alignment horizontal="left" vertical="center" readingOrder="1"/>
    </xf>
    <xf numFmtId="165" fontId="0" fillId="0" borderId="0" xfId="1" applyNumberFormat="1" applyFont="1"/>
    <xf numFmtId="0" fontId="12" fillId="6" borderId="0" xfId="0" applyFont="1" applyFill="1" applyBorder="1" applyAlignment="1">
      <alignment vertical="top" readingOrder="1"/>
    </xf>
    <xf numFmtId="1" fontId="3" fillId="0" borderId="0" xfId="0" applyNumberFormat="1" applyFont="1"/>
    <xf numFmtId="1" fontId="3" fillId="0" borderId="0" xfId="0" applyNumberFormat="1" applyFont="1" applyFill="1"/>
    <xf numFmtId="0" fontId="0" fillId="0" borderId="0" xfId="0" applyFont="1" applyAlignment="1">
      <alignment wrapText="1"/>
    </xf>
    <xf numFmtId="0" fontId="16" fillId="0" borderId="0" xfId="0" applyFont="1"/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2" fillId="6" borderId="0" xfId="0" applyFont="1" applyFill="1" applyBorder="1" applyAlignment="1"/>
    <xf numFmtId="0" fontId="0" fillId="0" borderId="0" xfId="0" applyFont="1" applyFill="1" applyAlignment="1">
      <alignment horizontal="left" vertical="top" wrapText="1"/>
    </xf>
    <xf numFmtId="1" fontId="0" fillId="0" borderId="0" xfId="2" applyNumberFormat="1" applyFont="1" applyAlignment="1">
      <alignment horizontal="right" vertical="center"/>
    </xf>
    <xf numFmtId="167" fontId="0" fillId="0" borderId="0" xfId="1" applyNumberFormat="1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167" fontId="0" fillId="0" borderId="0" xfId="1" applyNumberFormat="1" applyFont="1" applyBorder="1" applyAlignment="1">
      <alignment horizontal="right" vertical="center"/>
    </xf>
    <xf numFmtId="165" fontId="6" fillId="0" borderId="0" xfId="1" applyNumberFormat="1" applyFont="1" applyFill="1" applyAlignment="1">
      <alignment horizontal="left" vertical="top"/>
    </xf>
    <xf numFmtId="170" fontId="6" fillId="0" borderId="0" xfId="0" applyNumberFormat="1" applyFont="1" applyFill="1" applyAlignment="1">
      <alignment horizontal="left" vertical="top"/>
    </xf>
    <xf numFmtId="9" fontId="6" fillId="0" borderId="0" xfId="2" applyNumberFormat="1" applyFont="1" applyFill="1" applyAlignment="1">
      <alignment horizontal="right" vertical="top"/>
    </xf>
    <xf numFmtId="168" fontId="6" fillId="0" borderId="0" xfId="0" applyNumberFormat="1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165" fontId="8" fillId="0" borderId="0" xfId="1" applyNumberFormat="1" applyFont="1" applyFill="1" applyAlignment="1">
      <alignment horizontal="left" vertical="top"/>
    </xf>
    <xf numFmtId="170" fontId="8" fillId="0" borderId="0" xfId="0" applyNumberFormat="1" applyFont="1" applyFill="1" applyAlignment="1">
      <alignment horizontal="left" vertical="top"/>
    </xf>
    <xf numFmtId="9" fontId="8" fillId="0" borderId="0" xfId="2" applyNumberFormat="1" applyFont="1" applyFill="1" applyAlignment="1">
      <alignment horizontal="right" vertical="top"/>
    </xf>
    <xf numFmtId="168" fontId="8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8" borderId="2" xfId="0" applyFont="1" applyFill="1" applyBorder="1" applyAlignment="1">
      <alignment vertical="top"/>
    </xf>
    <xf numFmtId="0" fontId="3" fillId="8" borderId="4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165" fontId="3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left" vertical="top"/>
    </xf>
    <xf numFmtId="9" fontId="6" fillId="0" borderId="0" xfId="0" applyNumberFormat="1" applyFont="1" applyFill="1" applyAlignment="1">
      <alignment horizontal="right" vertical="top"/>
    </xf>
    <xf numFmtId="9" fontId="8" fillId="0" borderId="0" xfId="0" applyNumberFormat="1" applyFont="1" applyFill="1" applyAlignment="1">
      <alignment horizontal="right" vertical="top"/>
    </xf>
    <xf numFmtId="0" fontId="0" fillId="0" borderId="0" xfId="0" applyAlignment="1">
      <alignment wrapText="1"/>
    </xf>
    <xf numFmtId="168" fontId="0" fillId="0" borderId="0" xfId="0" applyNumberFormat="1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17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167" fontId="0" fillId="0" borderId="0" xfId="1" applyNumberFormat="1" applyFont="1" applyFill="1" applyBorder="1" applyAlignment="1">
      <alignment wrapText="1"/>
    </xf>
    <xf numFmtId="167" fontId="0" fillId="9" borderId="0" xfId="1" applyNumberFormat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7" fontId="0" fillId="0" borderId="0" xfId="1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2" borderId="2" xfId="0" applyFont="1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165" fontId="0" fillId="0" borderId="0" xfId="0" applyNumberFormat="1" applyAlignment="1">
      <alignment horizontal="left" vertical="top"/>
    </xf>
    <xf numFmtId="165" fontId="3" fillId="0" borderId="0" xfId="0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horizontal="left" vertical="top"/>
    </xf>
    <xf numFmtId="165" fontId="2" fillId="0" borderId="0" xfId="0" applyNumberFormat="1" applyFont="1" applyFill="1" applyAlignment="1">
      <alignment horizontal="left" vertical="top"/>
    </xf>
    <xf numFmtId="165" fontId="2" fillId="3" borderId="0" xfId="0" applyNumberFormat="1" applyFont="1" applyFill="1" applyAlignment="1">
      <alignment horizontal="left" vertical="top"/>
    </xf>
    <xf numFmtId="9" fontId="1" fillId="0" borderId="0" xfId="2" applyFont="1" applyFill="1" applyAlignment="1">
      <alignment horizontal="right" vertical="top"/>
    </xf>
    <xf numFmtId="165" fontId="0" fillId="0" borderId="0" xfId="0" applyNumberFormat="1" applyFill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3" fontId="0" fillId="0" borderId="0" xfId="1" applyNumberFormat="1" applyFont="1" applyFill="1" applyAlignment="1">
      <alignment horizontal="right" vertical="top"/>
    </xf>
    <xf numFmtId="9" fontId="1" fillId="0" borderId="0" xfId="2" applyFont="1" applyFill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172" fontId="3" fillId="0" borderId="0" xfId="0" applyNumberFormat="1" applyFont="1" applyAlignment="1">
      <alignment horizontal="left" vertical="top"/>
    </xf>
    <xf numFmtId="9" fontId="3" fillId="0" borderId="0" xfId="2" applyFont="1" applyFill="1" applyAlignment="1">
      <alignment horizontal="left" vertical="top"/>
    </xf>
    <xf numFmtId="9" fontId="0" fillId="0" borderId="0" xfId="0" applyNumberFormat="1" applyFont="1" applyFill="1" applyAlignment="1">
      <alignment horizontal="right" vertical="top"/>
    </xf>
    <xf numFmtId="9" fontId="0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vertical="top"/>
    </xf>
    <xf numFmtId="167" fontId="6" fillId="0" borderId="0" xfId="1" applyNumberFormat="1" applyFont="1" applyFill="1" applyAlignment="1">
      <alignment vertical="top"/>
    </xf>
    <xf numFmtId="167" fontId="2" fillId="4" borderId="0" xfId="1" applyNumberFormat="1" applyFont="1" applyFill="1" applyAlignment="1">
      <alignment vertical="top"/>
    </xf>
    <xf numFmtId="167" fontId="0" fillId="0" borderId="0" xfId="1" applyNumberFormat="1" applyFont="1" applyAlignment="1">
      <alignment vertical="top"/>
    </xf>
    <xf numFmtId="167" fontId="3" fillId="0" borderId="0" xfId="1" applyNumberFormat="1" applyFont="1" applyAlignment="1">
      <alignment vertical="top"/>
    </xf>
    <xf numFmtId="167" fontId="0" fillId="0" borderId="0" xfId="1" applyNumberFormat="1" applyFont="1" applyFill="1" applyAlignment="1">
      <alignment vertical="top"/>
    </xf>
    <xf numFmtId="167" fontId="9" fillId="0" borderId="0" xfId="1" applyNumberFormat="1" applyFont="1" applyFill="1" applyAlignment="1">
      <alignment vertical="top"/>
    </xf>
    <xf numFmtId="167" fontId="7" fillId="0" borderId="0" xfId="1" applyNumberFormat="1" applyFont="1" applyAlignment="1">
      <alignment vertical="top"/>
    </xf>
    <xf numFmtId="167" fontId="5" fillId="0" borderId="0" xfId="1" applyNumberFormat="1" applyFont="1" applyAlignment="1">
      <alignment vertical="top"/>
    </xf>
    <xf numFmtId="165" fontId="6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3" fontId="0" fillId="0" borderId="0" xfId="0" applyNumberFormat="1" applyBorder="1"/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wrapText="1"/>
    </xf>
    <xf numFmtId="168" fontId="0" fillId="0" borderId="0" xfId="0" applyNumberFormat="1" applyBorder="1"/>
    <xf numFmtId="9" fontId="0" fillId="0" borderId="0" xfId="2" applyNumberFormat="1" applyFont="1" applyBorder="1"/>
    <xf numFmtId="9" fontId="0" fillId="0" borderId="0" xfId="0" applyNumberFormat="1" applyBorder="1"/>
    <xf numFmtId="0" fontId="0" fillId="2" borderId="2" xfId="0" applyFont="1" applyFill="1" applyBorder="1"/>
    <xf numFmtId="167" fontId="3" fillId="0" borderId="0" xfId="1" applyNumberFormat="1" applyFont="1"/>
    <xf numFmtId="167" fontId="3" fillId="0" borderId="0" xfId="1" applyNumberFormat="1" applyFont="1" applyFill="1"/>
    <xf numFmtId="167" fontId="0" fillId="0" borderId="0" xfId="1" applyNumberFormat="1" applyFont="1" applyFill="1"/>
    <xf numFmtId="167" fontId="5" fillId="0" borderId="0" xfId="1" applyNumberFormat="1" applyFont="1"/>
    <xf numFmtId="0" fontId="12" fillId="6" borderId="0" xfId="0" applyFont="1" applyFill="1" applyBorder="1" applyAlignment="1">
      <alignment horizontal="left" vertical="top" readingOrder="1"/>
    </xf>
    <xf numFmtId="0" fontId="2" fillId="4" borderId="2" xfId="0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1" xfId="3"/>
    <cellStyle name="Normal 8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587828</xdr:colOff>
      <xdr:row>123</xdr:row>
      <xdr:rowOff>28574</xdr:rowOff>
    </xdr:from>
    <xdr:ext cx="4541303" cy="2583998"/>
    <xdr:pic>
      <xdr:nvPicPr>
        <xdr:cNvPr id="2" name="Picture 1">
          <a:extLst>
            <a:ext uri="{FF2B5EF4-FFF2-40B4-BE49-F238E27FC236}">
              <a16:creationId xmlns:a16="http://schemas.microsoft.com/office/drawing/2014/main" id="{DACD049C-D3FB-4CB0-9535-8B34B6A6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8085" y="22790603"/>
          <a:ext cx="4541303" cy="2583998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123</xdr:row>
      <xdr:rowOff>34017</xdr:rowOff>
    </xdr:from>
    <xdr:ext cx="4527710" cy="2568837"/>
    <xdr:pic>
      <xdr:nvPicPr>
        <xdr:cNvPr id="3" name="Picture 2">
          <a:extLst>
            <a:ext uri="{FF2B5EF4-FFF2-40B4-BE49-F238E27FC236}">
              <a16:creationId xmlns:a16="http://schemas.microsoft.com/office/drawing/2014/main" id="{D70E0A5B-CAF8-4B44-875F-9D7F53B82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2754" y="22796046"/>
          <a:ext cx="4527710" cy="2568837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77108</xdr:colOff>
      <xdr:row>11</xdr:row>
      <xdr:rowOff>20282</xdr:rowOff>
    </xdr:from>
    <xdr:ext cx="3923392" cy="2206909"/>
    <xdr:pic>
      <xdr:nvPicPr>
        <xdr:cNvPr id="2" name="Picture 1">
          <a:extLst>
            <a:ext uri="{FF2B5EF4-FFF2-40B4-BE49-F238E27FC236}">
              <a16:creationId xmlns:a16="http://schemas.microsoft.com/office/drawing/2014/main" id="{53CDB93C-A2A8-4D98-AF6C-67A878FA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787" y="2088568"/>
          <a:ext cx="3923392" cy="220690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217714</xdr:colOff>
      <xdr:row>10</xdr:row>
      <xdr:rowOff>77755</xdr:rowOff>
    </xdr:from>
    <xdr:ext cx="5435081" cy="3057233"/>
    <xdr:pic>
      <xdr:nvPicPr>
        <xdr:cNvPr id="2" name="Picture 1">
          <a:extLst>
            <a:ext uri="{FF2B5EF4-FFF2-40B4-BE49-F238E27FC236}">
              <a16:creationId xmlns:a16="http://schemas.microsoft.com/office/drawing/2014/main" id="{BCEFAF3D-F030-4453-87DB-42B0C47D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327" y="2542592"/>
          <a:ext cx="5435081" cy="3057233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101084</xdr:colOff>
      <xdr:row>26</xdr:row>
      <xdr:rowOff>124407</xdr:rowOff>
    </xdr:from>
    <xdr:ext cx="8811594" cy="4956522"/>
    <xdr:pic>
      <xdr:nvPicPr>
        <xdr:cNvPr id="2" name="Picture 1">
          <a:extLst>
            <a:ext uri="{FF2B5EF4-FFF2-40B4-BE49-F238E27FC236}">
              <a16:creationId xmlns:a16="http://schemas.microsoft.com/office/drawing/2014/main" id="{AF427D08-F8F4-4AEF-A6E7-D6816D973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977" y="6070728"/>
          <a:ext cx="8811594" cy="49565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48986</xdr:colOff>
      <xdr:row>41</xdr:row>
      <xdr:rowOff>144235</xdr:rowOff>
    </xdr:from>
    <xdr:ext cx="7511482" cy="4193409"/>
    <xdr:pic>
      <xdr:nvPicPr>
        <xdr:cNvPr id="2" name="Picture 1">
          <a:extLst>
            <a:ext uri="{FF2B5EF4-FFF2-40B4-BE49-F238E27FC236}">
              <a16:creationId xmlns:a16="http://schemas.microsoft.com/office/drawing/2014/main" id="{5BA85B03-2AD5-487F-B772-D6BFA14F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55" y="8002360"/>
          <a:ext cx="7511482" cy="41934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97972</xdr:colOff>
      <xdr:row>9</xdr:row>
      <xdr:rowOff>16329</xdr:rowOff>
    </xdr:from>
    <xdr:ext cx="3766456" cy="2103713"/>
    <xdr:pic>
      <xdr:nvPicPr>
        <xdr:cNvPr id="2" name="Picture 1">
          <a:extLst>
            <a:ext uri="{FF2B5EF4-FFF2-40B4-BE49-F238E27FC236}">
              <a16:creationId xmlns:a16="http://schemas.microsoft.com/office/drawing/2014/main" id="{17E9A444-BC1D-4702-AE0D-E73ACB345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115" y="1681843"/>
          <a:ext cx="3766456" cy="210371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122464</xdr:colOff>
      <xdr:row>22</xdr:row>
      <xdr:rowOff>88446</xdr:rowOff>
    </xdr:from>
    <xdr:ext cx="3785808" cy="2129517"/>
    <xdr:pic>
      <xdr:nvPicPr>
        <xdr:cNvPr id="2" name="Picture 1">
          <a:extLst>
            <a:ext uri="{FF2B5EF4-FFF2-40B4-BE49-F238E27FC236}">
              <a16:creationId xmlns:a16="http://schemas.microsoft.com/office/drawing/2014/main" id="{5F36B374-15A3-4937-85ED-AEA9F1E67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4159703"/>
          <a:ext cx="3785808" cy="212951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61820</xdr:colOff>
      <xdr:row>14</xdr:row>
      <xdr:rowOff>72572</xdr:rowOff>
    </xdr:from>
    <xdr:ext cx="4176805" cy="2300591"/>
    <xdr:pic>
      <xdr:nvPicPr>
        <xdr:cNvPr id="2" name="Picture 1">
          <a:extLst>
            <a:ext uri="{FF2B5EF4-FFF2-40B4-BE49-F238E27FC236}">
              <a16:creationId xmlns:a16="http://schemas.microsoft.com/office/drawing/2014/main" id="{744748D2-A263-42CF-8B5D-9FCD2ABA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863" y="2663372"/>
          <a:ext cx="4176805" cy="230059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9</xdr:row>
      <xdr:rowOff>20411</xdr:rowOff>
    </xdr:from>
    <xdr:ext cx="4076699" cy="2275242"/>
    <xdr:pic>
      <xdr:nvPicPr>
        <xdr:cNvPr id="2" name="Picture 1">
          <a:extLst>
            <a:ext uri="{FF2B5EF4-FFF2-40B4-BE49-F238E27FC236}">
              <a16:creationId xmlns:a16="http://schemas.microsoft.com/office/drawing/2014/main" id="{B0A18838-AF1A-4DCC-99B1-B4BD863E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194" y="1685925"/>
          <a:ext cx="4076699" cy="2275242"/>
        </a:xfrm>
        <a:prstGeom prst="rect">
          <a:avLst/>
        </a:prstGeom>
      </xdr:spPr>
    </xdr:pic>
    <xdr:clientData/>
  </xdr:oneCellAnchor>
  <xdr:oneCellAnchor>
    <xdr:from>
      <xdr:col>3</xdr:col>
      <xdr:colOff>571500</xdr:colOff>
      <xdr:row>9</xdr:row>
      <xdr:rowOff>20410</xdr:rowOff>
    </xdr:from>
    <xdr:ext cx="4112382" cy="2313215"/>
    <xdr:pic>
      <xdr:nvPicPr>
        <xdr:cNvPr id="3" name="Picture 2">
          <a:extLst>
            <a:ext uri="{FF2B5EF4-FFF2-40B4-BE49-F238E27FC236}">
              <a16:creationId xmlns:a16="http://schemas.microsoft.com/office/drawing/2014/main" id="{EEC8B1A8-25F1-493C-B941-4ECE8C78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29" y="1685924"/>
          <a:ext cx="4112382" cy="231321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122460</xdr:colOff>
      <xdr:row>103</xdr:row>
      <xdr:rowOff>149679</xdr:rowOff>
    </xdr:from>
    <xdr:ext cx="9041241" cy="4981915"/>
    <xdr:pic>
      <xdr:nvPicPr>
        <xdr:cNvPr id="2" name="Picture 1">
          <a:extLst>
            <a:ext uri="{FF2B5EF4-FFF2-40B4-BE49-F238E27FC236}">
              <a16:creationId xmlns:a16="http://schemas.microsoft.com/office/drawing/2014/main" id="{A8707A4D-0EB2-4A42-9846-EED5DF13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" y="19818804"/>
          <a:ext cx="9041241" cy="498191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136073</xdr:colOff>
      <xdr:row>27</xdr:row>
      <xdr:rowOff>95250</xdr:rowOff>
    </xdr:from>
    <xdr:ext cx="4438953" cy="2496911"/>
    <xdr:pic>
      <xdr:nvPicPr>
        <xdr:cNvPr id="2" name="Picture 1">
          <a:extLst>
            <a:ext uri="{FF2B5EF4-FFF2-40B4-BE49-F238E27FC236}">
              <a16:creationId xmlns:a16="http://schemas.microsoft.com/office/drawing/2014/main" id="{7C06A456-44BF-459D-AE91-EE53A538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216" y="5091793"/>
          <a:ext cx="4438953" cy="249691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56699</xdr:colOff>
      <xdr:row>11</xdr:row>
      <xdr:rowOff>13609</xdr:rowOff>
    </xdr:from>
    <xdr:ext cx="3834943" cy="2187515"/>
    <xdr:pic>
      <xdr:nvPicPr>
        <xdr:cNvPr id="2" name="Picture 1">
          <a:extLst>
            <a:ext uri="{FF2B5EF4-FFF2-40B4-BE49-F238E27FC236}">
              <a16:creationId xmlns:a16="http://schemas.microsoft.com/office/drawing/2014/main" id="{FA1982C6-5674-42C9-B6AB-5F11A46D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8" y="2081895"/>
          <a:ext cx="3834943" cy="21875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co%20Loenen\AppData\Local\Microsoft\Windows\INetCache\Content.Outlook\K4M5WQPE\170707%20Road%20Transport%20energy%20demand_GEP%20BAU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%20Orthofer\AppData\Local\Microsoft\Windows\INetCache\Content.Outlook\PW3HFS1C\20170707%20Residential%20buildings%20base%20year%20demand_GEP%20B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ke%20Schwickert\Box%20Sync\201805%20H2%20Europe\22%20Main%20model\20180108%20Hydrogen%20Roadmap%20EU%20Model_SENT_DRAFT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sumption--&gt;"/>
      <sheetName val="Global"/>
      <sheetName val="Regions"/>
      <sheetName val="Countries"/>
      <sheetName val="Sales --&gt;"/>
      <sheetName val="Global S"/>
      <sheetName val="Regions S"/>
      <sheetName val="Countries S"/>
      <sheetName val="Fleet--&gt;"/>
      <sheetName val="Global Fleet"/>
      <sheetName val="Regions F"/>
      <sheetName val="Countries 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BA"/>
      <sheetName val="TotalEnergyDemand"/>
      <sheetName val="NaturalGasDemand"/>
    </sheetNames>
    <sheetDataSet>
      <sheetData sheetId="0"/>
      <sheetData sheetId="1">
        <row r="14">
          <cell r="C14">
            <v>55</v>
          </cell>
        </row>
        <row r="16">
          <cell r="B16" t="str">
            <v>Biomass</v>
          </cell>
          <cell r="H16" t="str">
            <v>Font</v>
          </cell>
          <cell r="I16" t="str">
            <v>msoLineSolid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 emissions on sub-level"/>
      <sheetName val="CO2 emissions"/>
      <sheetName val="H2 demand"/>
      <sheetName val="Roadmap milestones"/>
      <sheetName val="2050 hydrogen vision"/>
      <sheetName val="T_Rampup fleet + sales"/>
      <sheetName val="T_FCEV sales + HRS required"/>
      <sheetName val="T_HRS development in Europe"/>
      <sheetName val="B_Building energy demand"/>
      <sheetName val="I_Industry energy demand"/>
      <sheetName val="Assumptions"/>
      <sheetName val="Fleet"/>
      <sheetName val="Fleet Copy"/>
      <sheetName val="Global_Fleet"/>
      <sheetName val="Global_Sales"/>
      <sheetName val="EU Roadmap "/>
      <sheetName val="Dropdown"/>
      <sheetName val="Import channels"/>
      <sheetName val="EU Model"/>
      <sheetName val="EU Model - Base"/>
      <sheetName val="BAU_Adoption rates"/>
      <sheetName val="BAU_Adoption rates NEW"/>
      <sheetName val="BAU_Fleet Model"/>
      <sheetName val="Ambitious_Fleet Model"/>
      <sheetName val="H2_Supply"/>
      <sheetName val="Power+Indu_Revenue &amp; Investment"/>
      <sheetName val="Store+Buff_Revenue &amp; Investment"/>
      <sheetName val="Transport_Revenue &amp; Investment"/>
      <sheetName val="EU_Sales"/>
      <sheetName val="EU_Fleet"/>
      <sheetName val="Buildings_Revenue &amp; Investment"/>
      <sheetName val="Buildings_Revenue &amp; Invest_NEW"/>
      <sheetName val="Analyses &gt;&gt;"/>
      <sheetName val="B_Share of biogas"/>
      <sheetName val="G_CO2"/>
      <sheetName val="T_CO2"/>
      <sheetName val="B_NG test"/>
      <sheetName val="T_CO2_Deep Dive 2"/>
      <sheetName val="T_Exports"/>
      <sheetName val="T_Share of H2"/>
      <sheetName val="G_Comparison of adoption rates"/>
      <sheetName val="G_Market share"/>
      <sheetName val="CO2_BAU_Feedstock"/>
      <sheetName val="T_Consumption"/>
      <sheetName val="Road-T_Emissions"/>
      <sheetName val="Charts Only &gt;&gt;"/>
      <sheetName val="G_H2 potential"/>
      <sheetName val="PG_Gas substitution"/>
      <sheetName val="G_Economic impact"/>
      <sheetName val="G_Investments &amp; Revenues (EUR)"/>
      <sheetName val="Investments along value chain"/>
      <sheetName val="Market size + jobs"/>
      <sheetName val="EU_Storage"/>
      <sheetName val="France_Storage studies"/>
      <sheetName val="Transport Overview"/>
      <sheetName val="EconAnalyses"/>
      <sheetName val="Sources &gt;&gt;&gt;"/>
      <sheetName val="B_Attractiveness"/>
      <sheetName val="PG_Country baselines"/>
      <sheetName val="PG_Country baselines II"/>
      <sheetName val="Sources &gt;&gt;"/>
      <sheetName val="Energy Insights Data"/>
      <sheetName val="T_Infrastructure impact BEVs"/>
      <sheetName val="F_Steel baseline"/>
      <sheetName val="B_Gas heating"/>
      <sheetName val="T_HD vehicles adoption rates"/>
      <sheetName val="R_Numbers in Report"/>
      <sheetName val="Vergleich Investments Modelle"/>
      <sheetName val="Fleet h2 regions"/>
      <sheetName val="Investments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1">
          <cell r="R41">
            <v>0</v>
          </cell>
        </row>
        <row r="44">
          <cell r="R44">
            <v>0</v>
          </cell>
          <cell r="AC44">
            <v>0</v>
          </cell>
        </row>
        <row r="45">
          <cell r="R45">
            <v>0</v>
          </cell>
          <cell r="AC45">
            <v>0</v>
          </cell>
        </row>
        <row r="46">
          <cell r="R46">
            <v>0</v>
          </cell>
          <cell r="AC46">
            <v>0</v>
          </cell>
        </row>
        <row r="47">
          <cell r="R47">
            <v>0</v>
          </cell>
          <cell r="AC47">
            <v>0</v>
          </cell>
        </row>
        <row r="48">
          <cell r="R48">
            <v>0</v>
          </cell>
          <cell r="AC48">
            <v>0</v>
          </cell>
        </row>
        <row r="50">
          <cell r="R50">
            <v>0</v>
          </cell>
          <cell r="AC50">
            <v>0</v>
          </cell>
        </row>
        <row r="51">
          <cell r="R51">
            <v>0</v>
          </cell>
          <cell r="AC51">
            <v>0</v>
          </cell>
        </row>
        <row r="52">
          <cell r="R52">
            <v>0</v>
          </cell>
          <cell r="AC52">
            <v>0</v>
          </cell>
        </row>
        <row r="54">
          <cell r="R54">
            <v>0</v>
          </cell>
          <cell r="AC54">
            <v>0</v>
          </cell>
        </row>
        <row r="55">
          <cell r="R55">
            <v>0</v>
          </cell>
          <cell r="AC55">
            <v>0</v>
          </cell>
        </row>
        <row r="56">
          <cell r="R56">
            <v>0</v>
          </cell>
          <cell r="AC56">
            <v>0</v>
          </cell>
        </row>
        <row r="57">
          <cell r="R57">
            <v>0</v>
          </cell>
          <cell r="AC57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opLeftCell="A99" zoomScale="80" zoomScaleNormal="80" workbookViewId="0">
      <selection activeCell="D120" sqref="D120"/>
    </sheetView>
  </sheetViews>
  <sheetFormatPr defaultColWidth="8.7109375" defaultRowHeight="15"/>
  <cols>
    <col min="1" max="1" width="2.7109375" style="2" customWidth="1"/>
    <col min="2" max="2" width="4.85546875" style="1" customWidth="1"/>
    <col min="3" max="3" width="40.42578125" style="1" customWidth="1"/>
    <col min="4" max="4" width="34.42578125" style="1" customWidth="1"/>
    <col min="5" max="5" width="13.140625" style="1" customWidth="1"/>
    <col min="6" max="7" width="11.140625" style="1" customWidth="1"/>
    <col min="8" max="8" width="11.85546875" style="1" customWidth="1"/>
    <col min="9" max="9" width="10.85546875" style="1" customWidth="1"/>
    <col min="10" max="10" width="10.7109375" style="1" customWidth="1"/>
    <col min="11" max="12" width="9.140625" style="1" customWidth="1"/>
    <col min="13" max="13" width="10.85546875" style="1" customWidth="1"/>
    <col min="14" max="14" width="55.85546875" style="1" customWidth="1"/>
    <col min="15" max="16384" width="8.7109375" style="1"/>
  </cols>
  <sheetData>
    <row r="1" spans="1:14" ht="18.75">
      <c r="B1" s="206" t="s">
        <v>69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customFormat="1"/>
    <row r="3" spans="1:14">
      <c r="B3" s="48"/>
      <c r="C3" s="48" t="s">
        <v>28</v>
      </c>
      <c r="D3" s="48" t="s">
        <v>68</v>
      </c>
      <c r="E3" s="48" t="s">
        <v>27</v>
      </c>
      <c r="F3" s="48">
        <v>2015</v>
      </c>
      <c r="G3" s="48">
        <v>2020</v>
      </c>
      <c r="H3" s="48">
        <v>2025</v>
      </c>
      <c r="I3" s="48">
        <v>2030</v>
      </c>
      <c r="J3" s="48">
        <v>2035</v>
      </c>
      <c r="K3" s="48">
        <v>2040</v>
      </c>
      <c r="L3" s="48">
        <v>2045</v>
      </c>
      <c r="M3" s="48">
        <v>2050</v>
      </c>
      <c r="N3" s="48" t="s">
        <v>67</v>
      </c>
    </row>
    <row r="4" spans="1:14" s="46" customFormat="1">
      <c r="A4" s="31"/>
      <c r="C4" s="46" t="s">
        <v>66</v>
      </c>
      <c r="D4" s="46" t="s">
        <v>65</v>
      </c>
      <c r="E4" s="46" t="s">
        <v>64</v>
      </c>
      <c r="F4" s="47">
        <f t="shared" ref="F4:M4" si="0">SUM(F5,F6,F17,F22,F25,F26,F27)</f>
        <v>1170.2127659574467</v>
      </c>
      <c r="G4" s="47">
        <f t="shared" si="0"/>
        <v>1452.6351843815287</v>
      </c>
      <c r="H4" s="47">
        <f t="shared" si="0"/>
        <v>1661.5289621449958</v>
      </c>
      <c r="I4" s="47">
        <f t="shared" si="0"/>
        <v>2390.3277996393626</v>
      </c>
      <c r="J4" s="47">
        <f t="shared" si="0"/>
        <v>2734.1063438537735</v>
      </c>
      <c r="K4" s="47">
        <f t="shared" si="0"/>
        <v>3722.6396421250402</v>
      </c>
      <c r="L4" s="47">
        <f t="shared" si="0"/>
        <v>4963.1111550402729</v>
      </c>
      <c r="M4" s="47">
        <f t="shared" si="0"/>
        <v>8070.596896201836</v>
      </c>
    </row>
    <row r="5" spans="1:14">
      <c r="B5" s="33">
        <v>1</v>
      </c>
      <c r="C5" s="13" t="s">
        <v>19</v>
      </c>
      <c r="D5" s="1" t="s">
        <v>65</v>
      </c>
      <c r="E5" s="1" t="s">
        <v>64</v>
      </c>
      <c r="F5" s="26">
        <v>0</v>
      </c>
      <c r="G5" s="26">
        <v>12.437993589584071</v>
      </c>
      <c r="H5" s="26">
        <v>62.262784335688167</v>
      </c>
      <c r="I5" s="26">
        <v>231.17584716788284</v>
      </c>
      <c r="J5" s="26">
        <v>228.64345551401257</v>
      </c>
      <c r="K5" s="26">
        <v>255.28838054907538</v>
      </c>
      <c r="L5" s="26">
        <v>282.98347897342302</v>
      </c>
      <c r="M5" s="26">
        <v>368.24945454802156</v>
      </c>
    </row>
    <row r="6" spans="1:14">
      <c r="B6" s="33">
        <v>4</v>
      </c>
      <c r="C6" s="13" t="s">
        <v>57</v>
      </c>
      <c r="D6" s="1" t="s">
        <v>65</v>
      </c>
      <c r="E6" s="1" t="s">
        <v>64</v>
      </c>
      <c r="F6" s="26">
        <v>0</v>
      </c>
      <c r="G6" s="26">
        <v>2.1075802677820077</v>
      </c>
      <c r="H6" s="26">
        <v>28.802490428401175</v>
      </c>
      <c r="I6" s="26">
        <v>251.61602815661513</v>
      </c>
      <c r="J6" s="26">
        <v>369.98987294348126</v>
      </c>
      <c r="K6" s="26">
        <v>880.84010565539506</v>
      </c>
      <c r="L6" s="26">
        <v>1232.5515891008299</v>
      </c>
      <c r="M6" s="26">
        <v>2430.6708321653359</v>
      </c>
    </row>
    <row r="7" spans="1:14">
      <c r="B7" s="33"/>
      <c r="C7" s="12" t="s">
        <v>18</v>
      </c>
      <c r="D7" s="1" t="s">
        <v>65</v>
      </c>
      <c r="E7" s="1" t="s">
        <v>64</v>
      </c>
      <c r="F7" s="26">
        <v>0</v>
      </c>
      <c r="G7" s="26">
        <v>3.5451845026574484E-4</v>
      </c>
      <c r="H7" s="26">
        <v>6.9974963165343887E-3</v>
      </c>
      <c r="I7" s="26">
        <v>4.4408803193452549E-2</v>
      </c>
      <c r="J7" s="26">
        <v>0.14895317917200077</v>
      </c>
      <c r="K7" s="26">
        <v>0.3761691085139236</v>
      </c>
      <c r="L7" s="26">
        <v>0.89992704611625496</v>
      </c>
      <c r="M7" s="26">
        <v>1.9766976242871273</v>
      </c>
    </row>
    <row r="8" spans="1:14">
      <c r="B8" s="33"/>
      <c r="C8" s="12" t="s">
        <v>56</v>
      </c>
      <c r="D8" s="1" t="s">
        <v>65</v>
      </c>
      <c r="E8" s="1" t="s">
        <v>64</v>
      </c>
      <c r="F8" s="26">
        <v>0</v>
      </c>
      <c r="G8" s="26">
        <v>0.3015034713835848</v>
      </c>
      <c r="H8" s="26">
        <v>10.243719100056914</v>
      </c>
      <c r="I8" s="26">
        <v>61.088221224985276</v>
      </c>
      <c r="J8" s="26">
        <v>168.27058255147745</v>
      </c>
      <c r="K8" s="26">
        <v>321.89223277054941</v>
      </c>
      <c r="L8" s="26">
        <v>508.73238134826585</v>
      </c>
      <c r="M8" s="26">
        <v>791.06225521218084</v>
      </c>
    </row>
    <row r="9" spans="1:14">
      <c r="B9" s="33"/>
      <c r="C9" s="12" t="s">
        <v>55</v>
      </c>
      <c r="D9" s="1" t="s">
        <v>65</v>
      </c>
      <c r="E9" s="1" t="s">
        <v>64</v>
      </c>
      <c r="F9" s="26">
        <v>0</v>
      </c>
      <c r="G9" s="26">
        <v>0.55793807651095506</v>
      </c>
      <c r="H9" s="26">
        <v>11.06413603990724</v>
      </c>
      <c r="I9" s="26">
        <v>42.724236921952581</v>
      </c>
      <c r="J9" s="26">
        <v>82.006499062004266</v>
      </c>
      <c r="K9" s="26">
        <v>116.38480535746609</v>
      </c>
      <c r="L9" s="26">
        <v>153.11312886247225</v>
      </c>
      <c r="M9" s="26">
        <v>195.93475447806341</v>
      </c>
    </row>
    <row r="10" spans="1:14">
      <c r="B10" s="33"/>
      <c r="C10" s="12" t="s">
        <v>54</v>
      </c>
      <c r="D10" s="1" t="s">
        <v>65</v>
      </c>
      <c r="E10" s="1" t="s">
        <v>64</v>
      </c>
      <c r="F10" s="26">
        <v>0</v>
      </c>
      <c r="G10" s="26">
        <v>0.18881645323826815</v>
      </c>
      <c r="H10" s="26">
        <v>4.3207223520965901</v>
      </c>
      <c r="I10" s="26">
        <v>25.04583968472863</v>
      </c>
      <c r="J10" s="26">
        <v>67.930816179331501</v>
      </c>
      <c r="K10" s="26">
        <v>126.60332026449316</v>
      </c>
      <c r="L10" s="26">
        <v>205.95527898502303</v>
      </c>
      <c r="M10" s="26">
        <v>334.66576310107479</v>
      </c>
    </row>
    <row r="11" spans="1:14">
      <c r="B11" s="33"/>
      <c r="C11" s="12" t="s">
        <v>53</v>
      </c>
      <c r="D11" s="1" t="s">
        <v>65</v>
      </c>
      <c r="E11" s="1" t="s">
        <v>64</v>
      </c>
      <c r="F11" s="26">
        <v>0</v>
      </c>
      <c r="G11" s="26">
        <v>0.10096063791218735</v>
      </c>
      <c r="H11" s="26">
        <v>1.3225224658662464</v>
      </c>
      <c r="I11" s="26">
        <v>5.0049365975628239</v>
      </c>
      <c r="J11" s="26">
        <v>12.75130941791285</v>
      </c>
      <c r="K11" s="26">
        <v>24.763448963978433</v>
      </c>
      <c r="L11" s="26">
        <v>42.656668253811716</v>
      </c>
      <c r="M11" s="26">
        <v>69.69464086147714</v>
      </c>
    </row>
    <row r="12" spans="1:14">
      <c r="B12" s="33"/>
      <c r="C12" s="12" t="s">
        <v>52</v>
      </c>
      <c r="D12" s="1" t="s">
        <v>65</v>
      </c>
      <c r="E12" s="1" t="s">
        <v>64</v>
      </c>
      <c r="F12" s="26">
        <v>0</v>
      </c>
      <c r="G12" s="26">
        <v>3.2894604181128148E-2</v>
      </c>
      <c r="H12" s="26">
        <v>1.2236876444598361</v>
      </c>
      <c r="I12" s="26">
        <v>8.7253103439635034</v>
      </c>
      <c r="J12" s="26">
        <v>33.607401341077967</v>
      </c>
      <c r="K12" s="26">
        <v>111.13677398187329</v>
      </c>
      <c r="L12" s="26">
        <v>276.26506708729346</v>
      </c>
      <c r="M12" s="26">
        <v>524.47527467275313</v>
      </c>
    </row>
    <row r="13" spans="1:14">
      <c r="B13" s="33"/>
      <c r="C13" s="12" t="s">
        <v>14</v>
      </c>
      <c r="D13" s="1" t="s">
        <v>65</v>
      </c>
      <c r="E13" s="1" t="s">
        <v>64</v>
      </c>
      <c r="F13" s="26">
        <v>0</v>
      </c>
      <c r="G13" s="26">
        <v>8.830083810013771E-2</v>
      </c>
      <c r="H13" s="26">
        <v>0.62070532969781478</v>
      </c>
      <c r="I13" s="26">
        <v>1.2191688849967532</v>
      </c>
      <c r="J13" s="26">
        <v>5.274311212505288</v>
      </c>
      <c r="K13" s="26">
        <v>19.943286030105966</v>
      </c>
      <c r="L13" s="26">
        <v>44.929137517847288</v>
      </c>
      <c r="M13" s="26">
        <v>79.564558416995297</v>
      </c>
    </row>
    <row r="14" spans="1:14">
      <c r="B14" s="33"/>
      <c r="C14" s="12" t="s">
        <v>13</v>
      </c>
      <c r="D14" s="1" t="s">
        <v>65</v>
      </c>
      <c r="E14" s="1" t="s">
        <v>64</v>
      </c>
      <c r="F14" s="26">
        <v>0</v>
      </c>
      <c r="G14" s="26">
        <v>0</v>
      </c>
      <c r="H14" s="26">
        <v>0</v>
      </c>
      <c r="I14" s="26">
        <v>4.7180691319260539</v>
      </c>
      <c r="J14" s="26">
        <v>0</v>
      </c>
      <c r="K14" s="26">
        <v>9.5347444768224925</v>
      </c>
      <c r="L14" s="26">
        <v>0</v>
      </c>
      <c r="M14" s="26">
        <v>114.49830562854662</v>
      </c>
    </row>
    <row r="15" spans="1:14">
      <c r="B15" s="33"/>
      <c r="C15" s="12" t="s">
        <v>12</v>
      </c>
      <c r="D15" s="1" t="s">
        <v>65</v>
      </c>
      <c r="E15" s="1" t="s">
        <v>64</v>
      </c>
      <c r="F15" s="26">
        <v>0</v>
      </c>
      <c r="G15" s="26">
        <v>0</v>
      </c>
      <c r="H15" s="26">
        <v>0</v>
      </c>
      <c r="I15" s="26">
        <v>64.110142932057016</v>
      </c>
      <c r="J15" s="26">
        <v>0</v>
      </c>
      <c r="K15" s="26">
        <v>74.638029968138497</v>
      </c>
      <c r="L15" s="26">
        <v>0</v>
      </c>
      <c r="M15" s="26">
        <v>208.47320172094445</v>
      </c>
    </row>
    <row r="16" spans="1:14">
      <c r="B16" s="33"/>
      <c r="C16" s="12" t="s">
        <v>11</v>
      </c>
      <c r="D16" s="1" t="s">
        <v>65</v>
      </c>
      <c r="E16" s="1" t="s">
        <v>64</v>
      </c>
      <c r="F16" s="26">
        <v>0</v>
      </c>
      <c r="G16" s="26">
        <v>0.83681166800548057</v>
      </c>
      <c r="H16" s="26">
        <v>0</v>
      </c>
      <c r="I16" s="26">
        <v>38.935693631249045</v>
      </c>
      <c r="J16" s="26">
        <v>0</v>
      </c>
      <c r="K16" s="26">
        <v>75.567294733453693</v>
      </c>
      <c r="L16" s="26">
        <v>0</v>
      </c>
      <c r="M16" s="26">
        <v>110.32538044901324</v>
      </c>
    </row>
    <row r="17" spans="1:14">
      <c r="B17" s="34">
        <v>5</v>
      </c>
      <c r="C17" s="7" t="s">
        <v>51</v>
      </c>
      <c r="D17" s="1" t="s">
        <v>65</v>
      </c>
      <c r="E17" s="1" t="s">
        <v>64</v>
      </c>
      <c r="F17" s="45">
        <v>0</v>
      </c>
      <c r="G17" s="45">
        <v>0</v>
      </c>
      <c r="H17" s="45">
        <v>0</v>
      </c>
      <c r="I17" s="45">
        <v>27.680618310699451</v>
      </c>
      <c r="J17" s="45">
        <v>74.747243540269892</v>
      </c>
      <c r="K17" s="45">
        <v>167.89650787624282</v>
      </c>
      <c r="L17" s="45">
        <v>374.31460989805618</v>
      </c>
      <c r="M17" s="45">
        <v>852.15569948488724</v>
      </c>
    </row>
    <row r="18" spans="1:14">
      <c r="B18" s="33"/>
      <c r="C18" s="4" t="s">
        <v>9</v>
      </c>
      <c r="D18" s="1" t="s">
        <v>65</v>
      </c>
      <c r="E18" s="1" t="s">
        <v>64</v>
      </c>
      <c r="F18" s="26">
        <v>0</v>
      </c>
      <c r="G18" s="26">
        <v>0</v>
      </c>
      <c r="H18" s="26">
        <v>0</v>
      </c>
      <c r="I18" s="26">
        <v>27.680618310699458</v>
      </c>
      <c r="J18" s="26">
        <v>57.879370271390222</v>
      </c>
      <c r="K18" s="26">
        <v>124.5456218772886</v>
      </c>
      <c r="L18" s="26">
        <v>263.57300517733421</v>
      </c>
      <c r="M18" s="26">
        <v>563.35011603596604</v>
      </c>
    </row>
    <row r="19" spans="1:14">
      <c r="B19" s="33"/>
      <c r="C19" s="4" t="s">
        <v>8</v>
      </c>
      <c r="D19" s="1" t="s">
        <v>65</v>
      </c>
      <c r="E19" s="1" t="s">
        <v>64</v>
      </c>
      <c r="F19" s="26">
        <v>0</v>
      </c>
      <c r="G19" s="26">
        <v>0</v>
      </c>
      <c r="H19" s="26">
        <v>0</v>
      </c>
      <c r="I19" s="26">
        <v>0</v>
      </c>
      <c r="J19" s="26">
        <v>6.5394709606248611</v>
      </c>
      <c r="K19" s="26">
        <v>18.987907401828881</v>
      </c>
      <c r="L19" s="26">
        <v>54.222481511181542</v>
      </c>
      <c r="M19" s="26">
        <v>156.38196667579541</v>
      </c>
    </row>
    <row r="20" spans="1:14">
      <c r="B20" s="33"/>
      <c r="C20" s="4" t="s">
        <v>7</v>
      </c>
      <c r="D20" s="1" t="s">
        <v>65</v>
      </c>
      <c r="E20" s="1" t="s">
        <v>64</v>
      </c>
      <c r="F20" s="26">
        <v>0</v>
      </c>
      <c r="G20" s="26">
        <v>0</v>
      </c>
      <c r="H20" s="26">
        <v>0</v>
      </c>
      <c r="I20" s="26">
        <v>0</v>
      </c>
      <c r="J20" s="26">
        <v>10.328402308254811</v>
      </c>
      <c r="K20" s="26">
        <v>24.362978597125366</v>
      </c>
      <c r="L20" s="26">
        <v>56.519123209540439</v>
      </c>
      <c r="M20" s="26">
        <v>132.42361677312576</v>
      </c>
    </row>
    <row r="21" spans="1:14">
      <c r="B21" s="33"/>
      <c r="C21" s="4" t="s">
        <v>49</v>
      </c>
      <c r="D21" s="1" t="s">
        <v>65</v>
      </c>
      <c r="E21" s="1" t="s">
        <v>64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</row>
    <row r="22" spans="1:14">
      <c r="B22" s="34">
        <v>6</v>
      </c>
      <c r="C22" s="7" t="s">
        <v>10</v>
      </c>
      <c r="D22" s="1" t="s">
        <v>65</v>
      </c>
      <c r="E22" s="1" t="s">
        <v>64</v>
      </c>
      <c r="F22" s="45">
        <v>0</v>
      </c>
      <c r="G22" s="45">
        <v>65.944059707143225</v>
      </c>
      <c r="H22" s="45">
        <v>89.257372543438109</v>
      </c>
      <c r="I22" s="45">
        <v>118.46475964082403</v>
      </c>
      <c r="J22" s="45">
        <v>237.7979337974424</v>
      </c>
      <c r="K22" s="45">
        <v>485.43071224920266</v>
      </c>
      <c r="L22" s="45">
        <v>998.83455568293471</v>
      </c>
      <c r="M22" s="45">
        <v>2086.6292320601488</v>
      </c>
    </row>
    <row r="23" spans="1:14">
      <c r="B23" s="33"/>
      <c r="C23" s="4" t="s">
        <v>50</v>
      </c>
      <c r="D23" s="1" t="s">
        <v>65</v>
      </c>
      <c r="E23" s="1" t="s">
        <v>64</v>
      </c>
      <c r="F23" s="26">
        <v>0</v>
      </c>
      <c r="G23" s="26">
        <v>64.049062157589859</v>
      </c>
      <c r="H23" s="26">
        <v>85.847950439940362</v>
      </c>
      <c r="I23" s="26">
        <v>111.98012425929315</v>
      </c>
      <c r="J23" s="26">
        <v>219.47232142614806</v>
      </c>
      <c r="K23" s="26">
        <v>433.642410769018</v>
      </c>
      <c r="L23" s="26">
        <v>852.71506815994633</v>
      </c>
      <c r="M23" s="26">
        <v>1675.4205567073584</v>
      </c>
    </row>
    <row r="24" spans="1:14">
      <c r="B24" s="33"/>
      <c r="C24" s="4" t="s">
        <v>49</v>
      </c>
      <c r="D24" s="1" t="s">
        <v>65</v>
      </c>
      <c r="E24" s="1" t="s">
        <v>64</v>
      </c>
      <c r="F24" s="26">
        <v>0</v>
      </c>
      <c r="G24" s="26">
        <v>1.8949975495533615</v>
      </c>
      <c r="H24" s="26">
        <v>3.4094221034977434</v>
      </c>
      <c r="I24" s="26">
        <v>6.4846353815308788</v>
      </c>
      <c r="J24" s="26">
        <v>18.325612371294348</v>
      </c>
      <c r="K24" s="26">
        <v>51.788301480184643</v>
      </c>
      <c r="L24" s="26">
        <v>146.11948752298844</v>
      </c>
      <c r="M24" s="26">
        <v>411.20867535279046</v>
      </c>
    </row>
    <row r="25" spans="1:14">
      <c r="B25" s="34" t="s">
        <v>48</v>
      </c>
      <c r="C25" s="7" t="s">
        <v>47</v>
      </c>
      <c r="D25" s="1" t="s">
        <v>65</v>
      </c>
      <c r="E25" s="1" t="s">
        <v>0</v>
      </c>
      <c r="F25" s="26">
        <v>0</v>
      </c>
      <c r="G25" s="26">
        <v>0</v>
      </c>
      <c r="H25" s="26">
        <v>0</v>
      </c>
      <c r="I25" s="26">
        <v>110.72150935493889</v>
      </c>
      <c r="J25" s="26">
        <v>135.96157581590384</v>
      </c>
      <c r="K25" s="26">
        <v>201.5166886176427</v>
      </c>
      <c r="L25" s="26">
        <v>277.60894427632252</v>
      </c>
      <c r="M25" s="26">
        <v>418.71523103755226</v>
      </c>
    </row>
    <row r="26" spans="1:14">
      <c r="B26" s="34" t="s">
        <v>46</v>
      </c>
      <c r="C26" s="7" t="s">
        <v>45</v>
      </c>
      <c r="D26" s="1" t="s">
        <v>65</v>
      </c>
      <c r="E26" s="1" t="s">
        <v>0</v>
      </c>
      <c r="F26" s="26">
        <v>0</v>
      </c>
      <c r="G26" s="26">
        <v>0</v>
      </c>
      <c r="H26" s="26">
        <v>0</v>
      </c>
      <c r="I26" s="26">
        <v>113.31714489230426</v>
      </c>
      <c r="J26" s="26">
        <v>165.60467174667011</v>
      </c>
      <c r="K26" s="26">
        <v>243.51777811226316</v>
      </c>
      <c r="L26" s="26">
        <v>347.69320980420474</v>
      </c>
      <c r="M26" s="26">
        <v>507.12571959613757</v>
      </c>
      <c r="N26" s="20"/>
    </row>
    <row r="27" spans="1:14">
      <c r="B27" s="34" t="s">
        <v>44</v>
      </c>
      <c r="C27" s="7" t="s">
        <v>43</v>
      </c>
      <c r="D27" s="1" t="s">
        <v>65</v>
      </c>
      <c r="E27" s="1" t="s">
        <v>64</v>
      </c>
      <c r="F27" s="45">
        <v>1170.2127659574467</v>
      </c>
      <c r="G27" s="45">
        <v>1372.1455508170193</v>
      </c>
      <c r="H27" s="45">
        <v>1481.2063148374684</v>
      </c>
      <c r="I27" s="45">
        <v>1537.351892116098</v>
      </c>
      <c r="J27" s="45">
        <v>1521.3615904959934</v>
      </c>
      <c r="K27" s="45">
        <v>1488.1494690652185</v>
      </c>
      <c r="L27" s="45">
        <v>1449.1247673045023</v>
      </c>
      <c r="M27" s="45">
        <v>1407.0507273097517</v>
      </c>
      <c r="N27" s="20"/>
    </row>
    <row r="28" spans="1:14" ht="30">
      <c r="B28" s="33"/>
      <c r="C28" s="5" t="s">
        <v>6</v>
      </c>
      <c r="D28" s="1" t="s">
        <v>65</v>
      </c>
      <c r="E28" s="1" t="s">
        <v>64</v>
      </c>
      <c r="F28" s="26">
        <v>573.40425531914889</v>
      </c>
      <c r="G28" s="26">
        <v>703.52903943938395</v>
      </c>
      <c r="H28" s="26">
        <v>753.76945721633251</v>
      </c>
      <c r="I28" s="26">
        <v>792.34619389251213</v>
      </c>
      <c r="J28" s="26">
        <v>829.68647471345821</v>
      </c>
      <c r="K28" s="26">
        <v>864.41851539561628</v>
      </c>
      <c r="L28" s="26">
        <v>894.87784696122151</v>
      </c>
      <c r="M28" s="26">
        <v>918.60337768396334</v>
      </c>
    </row>
    <row r="29" spans="1:14">
      <c r="B29" s="33"/>
      <c r="C29" s="4" t="s">
        <v>5</v>
      </c>
      <c r="D29" s="1" t="s">
        <v>65</v>
      </c>
      <c r="E29" s="1" t="s">
        <v>64</v>
      </c>
      <c r="F29" s="26">
        <v>550</v>
      </c>
      <c r="G29" s="26">
        <v>620</v>
      </c>
      <c r="H29" s="26">
        <v>677.5</v>
      </c>
      <c r="I29" s="26">
        <v>695</v>
      </c>
      <c r="J29" s="26">
        <v>640</v>
      </c>
      <c r="K29" s="26">
        <v>569.99999999999989</v>
      </c>
      <c r="L29" s="26">
        <v>499.99999999999994</v>
      </c>
      <c r="M29" s="26">
        <v>432.49999999999994</v>
      </c>
    </row>
    <row r="30" spans="1:14">
      <c r="C30" s="4" t="s">
        <v>4</v>
      </c>
      <c r="D30" s="1" t="s">
        <v>65</v>
      </c>
      <c r="E30" s="1" t="s">
        <v>64</v>
      </c>
      <c r="F30" s="26">
        <v>46.808510638297875</v>
      </c>
      <c r="G30" s="26">
        <v>48.616511377635426</v>
      </c>
      <c r="H30" s="26">
        <v>49.93685762113595</v>
      </c>
      <c r="I30" s="26">
        <v>50.005698223586094</v>
      </c>
      <c r="J30" s="26">
        <v>51.675115782535265</v>
      </c>
      <c r="K30" s="26">
        <v>53.730953669602336</v>
      </c>
      <c r="L30" s="26">
        <v>54.246920343280962</v>
      </c>
      <c r="M30" s="26">
        <v>55.94734962578822</v>
      </c>
    </row>
    <row r="31" spans="1:14">
      <c r="B31" s="33"/>
      <c r="C31" s="13"/>
      <c r="F31" s="14"/>
      <c r="G31" s="14"/>
      <c r="H31" s="14"/>
      <c r="I31" s="14"/>
      <c r="J31" s="14"/>
      <c r="K31" s="14"/>
      <c r="L31" s="14"/>
      <c r="M31" s="14"/>
    </row>
    <row r="32" spans="1:14" s="13" customFormat="1">
      <c r="A32" s="31"/>
      <c r="B32" s="43"/>
      <c r="C32" s="44" t="s">
        <v>63</v>
      </c>
      <c r="D32" s="43"/>
      <c r="E32" s="42"/>
      <c r="F32" s="42"/>
      <c r="G32" s="42"/>
      <c r="H32" s="42"/>
      <c r="I32" s="42"/>
      <c r="J32" s="42"/>
      <c r="K32" s="42"/>
      <c r="L32" s="42"/>
      <c r="M32" s="42"/>
      <c r="N32" s="41"/>
    </row>
    <row r="33" spans="1:13" s="13" customFormat="1">
      <c r="A33" s="2"/>
      <c r="B33" s="33">
        <v>1</v>
      </c>
      <c r="C33" s="13" t="s">
        <v>19</v>
      </c>
      <c r="D33" s="13" t="s">
        <v>60</v>
      </c>
      <c r="E33" s="13" t="s">
        <v>62</v>
      </c>
      <c r="F33" s="184">
        <v>9.3955000000000002</v>
      </c>
      <c r="G33" s="184">
        <v>9.8712309628507686</v>
      </c>
      <c r="H33" s="184">
        <v>8.0516233136288982</v>
      </c>
      <c r="I33" s="184">
        <v>6.1291364532380328</v>
      </c>
      <c r="J33" s="184">
        <v>3.3521411402802155</v>
      </c>
      <c r="K33" s="184">
        <v>2.1064101191774918</v>
      </c>
      <c r="L33" s="184">
        <v>1.2333418709596209</v>
      </c>
      <c r="M33" s="184">
        <v>0.6688251618695612</v>
      </c>
    </row>
    <row r="34" spans="1:13" s="13" customFormat="1">
      <c r="A34" s="2"/>
      <c r="B34" s="33">
        <v>4</v>
      </c>
      <c r="C34" s="13" t="s">
        <v>57</v>
      </c>
      <c r="D34" s="13" t="s">
        <v>60</v>
      </c>
      <c r="E34" s="13" t="s">
        <v>62</v>
      </c>
      <c r="F34" s="184">
        <v>11.687232303489274</v>
      </c>
      <c r="G34" s="184">
        <v>9.8513617243367353</v>
      </c>
      <c r="H34" s="184">
        <v>7.7562483521817667</v>
      </c>
      <c r="I34" s="184">
        <v>5.8103309951085125</v>
      </c>
      <c r="J34" s="184">
        <v>3.0240837259277829</v>
      </c>
      <c r="K34" s="184">
        <v>1.8886224762735944</v>
      </c>
      <c r="L34" s="184">
        <v>1.3044075032323366</v>
      </c>
      <c r="M34" s="184">
        <v>0.78985917920157878</v>
      </c>
    </row>
    <row r="35" spans="1:13" s="13" customFormat="1">
      <c r="A35" s="2"/>
      <c r="B35" s="33">
        <v>5</v>
      </c>
      <c r="C35" s="13" t="s">
        <v>51</v>
      </c>
      <c r="D35" s="13" t="s">
        <v>60</v>
      </c>
      <c r="E35" s="13" t="s">
        <v>62</v>
      </c>
      <c r="F35" s="184">
        <v>9.3955000000000002</v>
      </c>
      <c r="G35" s="184">
        <v>9.8712309628507686</v>
      </c>
      <c r="H35" s="184">
        <v>8.0516233136288982</v>
      </c>
      <c r="I35" s="184">
        <v>6.1291364532380328</v>
      </c>
      <c r="J35" s="184">
        <v>3.3521411402802155</v>
      </c>
      <c r="K35" s="184">
        <v>2.1064101191774918</v>
      </c>
      <c r="L35" s="184">
        <v>1.2333418709596209</v>
      </c>
      <c r="M35" s="184">
        <v>0.6688251618695612</v>
      </c>
    </row>
    <row r="36" spans="1:13" s="13" customFormat="1">
      <c r="A36" s="2"/>
      <c r="B36" s="33">
        <v>6</v>
      </c>
      <c r="C36" s="13" t="s">
        <v>10</v>
      </c>
      <c r="D36" s="13" t="s">
        <v>60</v>
      </c>
      <c r="E36" s="13" t="s">
        <v>62</v>
      </c>
      <c r="F36" s="184">
        <v>9.3955000000000002</v>
      </c>
      <c r="G36" s="184">
        <v>9.8712309628507686</v>
      </c>
      <c r="H36" s="184">
        <v>8.0516233136288982</v>
      </c>
      <c r="I36" s="184">
        <v>6.1291364532380328</v>
      </c>
      <c r="J36" s="184">
        <v>3.3521411402802155</v>
      </c>
      <c r="K36" s="184">
        <v>2.1064101191774918</v>
      </c>
      <c r="L36" s="184">
        <v>1.2333418709596209</v>
      </c>
      <c r="M36" s="184">
        <v>0.6688251618695612</v>
      </c>
    </row>
    <row r="37" spans="1:13" s="13" customFormat="1">
      <c r="A37" s="2"/>
      <c r="B37" s="33" t="s">
        <v>48</v>
      </c>
      <c r="C37" s="13" t="s">
        <v>47</v>
      </c>
      <c r="D37" s="13" t="s">
        <v>60</v>
      </c>
      <c r="E37" s="13" t="s">
        <v>62</v>
      </c>
      <c r="F37" s="184">
        <v>9.3955000000000002</v>
      </c>
      <c r="G37" s="184">
        <v>9.8712309628507686</v>
      </c>
      <c r="H37" s="184">
        <v>8.0516233136288982</v>
      </c>
      <c r="I37" s="184">
        <v>6.1291364532380328</v>
      </c>
      <c r="J37" s="184">
        <v>3.3521411402802155</v>
      </c>
      <c r="K37" s="184">
        <v>2.1064101191774918</v>
      </c>
      <c r="L37" s="184">
        <v>1.2333418709596209</v>
      </c>
      <c r="M37" s="184">
        <v>0.6688251618695612</v>
      </c>
    </row>
    <row r="38" spans="1:13" s="13" customFormat="1">
      <c r="A38" s="2"/>
      <c r="B38" s="33" t="s">
        <v>46</v>
      </c>
      <c r="C38" s="13" t="s">
        <v>45</v>
      </c>
      <c r="D38" s="13" t="s">
        <v>60</v>
      </c>
      <c r="E38" s="13" t="s">
        <v>62</v>
      </c>
      <c r="F38" s="184">
        <v>9.3955000000000002</v>
      </c>
      <c r="G38" s="184">
        <v>9.8712309628507686</v>
      </c>
      <c r="H38" s="184">
        <v>8.0516233136288982</v>
      </c>
      <c r="I38" s="184">
        <v>6.1291364532380328</v>
      </c>
      <c r="J38" s="184">
        <v>3.3521411402802155</v>
      </c>
      <c r="K38" s="184">
        <v>2.1064101191774918</v>
      </c>
      <c r="L38" s="184">
        <v>1.2333418709596209</v>
      </c>
      <c r="M38" s="184">
        <v>0.6688251618695612</v>
      </c>
    </row>
    <row r="39" spans="1:13" s="13" customFormat="1">
      <c r="A39" s="2"/>
      <c r="B39" s="33" t="s">
        <v>44</v>
      </c>
      <c r="C39" s="13" t="s">
        <v>43</v>
      </c>
      <c r="D39" s="13" t="s">
        <v>60</v>
      </c>
      <c r="E39" s="13" t="s">
        <v>62</v>
      </c>
      <c r="F39" s="184">
        <v>9.3955000000000002</v>
      </c>
      <c r="G39" s="184">
        <v>9.3745000000000012</v>
      </c>
      <c r="H39" s="184">
        <v>8.923249277450612</v>
      </c>
      <c r="I39" s="184">
        <v>8.479000000000001</v>
      </c>
      <c r="J39" s="184">
        <v>7.0055000000000005</v>
      </c>
      <c r="K39" s="184">
        <v>5.5330000000000004</v>
      </c>
      <c r="L39" s="184">
        <v>4.153240370349204</v>
      </c>
      <c r="M39" s="184">
        <v>2.6894999999999998</v>
      </c>
    </row>
    <row r="40" spans="1:13" s="13" customFormat="1">
      <c r="A40" s="2"/>
      <c r="B40" s="33"/>
      <c r="F40" s="184"/>
      <c r="G40" s="184"/>
      <c r="H40" s="184"/>
      <c r="I40" s="184"/>
      <c r="J40" s="184"/>
      <c r="K40" s="184"/>
      <c r="L40" s="184"/>
      <c r="M40" s="184"/>
    </row>
    <row r="41" spans="1:13" s="13" customFormat="1">
      <c r="A41" s="2"/>
      <c r="B41" s="33">
        <v>1</v>
      </c>
      <c r="C41" s="13" t="s">
        <v>19</v>
      </c>
      <c r="D41" s="13" t="s">
        <v>60</v>
      </c>
      <c r="E41" s="13" t="s">
        <v>61</v>
      </c>
      <c r="F41" s="184">
        <v>6.6634751773049644E-2</v>
      </c>
      <c r="G41" s="184">
        <v>7.0008730232984179E-2</v>
      </c>
      <c r="H41" s="184">
        <v>5.7103711444176586E-2</v>
      </c>
      <c r="I41" s="184">
        <v>4.3469052859844204E-2</v>
      </c>
      <c r="J41" s="184">
        <v>2.3774050640285215E-2</v>
      </c>
      <c r="K41" s="184">
        <v>1.4939078859414836E-2</v>
      </c>
      <c r="L41" s="184">
        <v>8.7471054677987301E-3</v>
      </c>
      <c r="M41" s="184">
        <v>4.7434408643231294E-3</v>
      </c>
    </row>
    <row r="42" spans="1:13" s="13" customFormat="1">
      <c r="A42" s="2"/>
      <c r="B42" s="33">
        <v>4</v>
      </c>
      <c r="C42" s="13" t="s">
        <v>57</v>
      </c>
      <c r="D42" s="13" t="s">
        <v>60</v>
      </c>
      <c r="E42" s="13" t="s">
        <v>61</v>
      </c>
      <c r="F42" s="184">
        <v>8.2888172365172152E-2</v>
      </c>
      <c r="G42" s="184">
        <v>6.9867813647778262E-2</v>
      </c>
      <c r="H42" s="184">
        <v>5.5008853561572812E-2</v>
      </c>
      <c r="I42" s="184">
        <v>4.1208021241904341E-2</v>
      </c>
      <c r="J42" s="184">
        <v>2.1447402311544558E-2</v>
      </c>
      <c r="K42" s="184">
        <v>1.3394485647330456E-2</v>
      </c>
      <c r="L42" s="184">
        <v>9.2511170442009689E-3</v>
      </c>
      <c r="M42" s="184">
        <v>5.6018381503658071E-3</v>
      </c>
    </row>
    <row r="43" spans="1:13" s="13" customFormat="1">
      <c r="A43" s="2"/>
      <c r="B43" s="33">
        <v>5</v>
      </c>
      <c r="C43" s="13" t="s">
        <v>51</v>
      </c>
      <c r="D43" s="13" t="s">
        <v>60</v>
      </c>
      <c r="E43" s="13" t="s">
        <v>61</v>
      </c>
      <c r="F43" s="184">
        <v>6.6634751773049644E-2</v>
      </c>
      <c r="G43" s="184">
        <v>7.0008730232984179E-2</v>
      </c>
      <c r="H43" s="184">
        <v>5.7103711444176586E-2</v>
      </c>
      <c r="I43" s="184">
        <v>4.3469052859844204E-2</v>
      </c>
      <c r="J43" s="184">
        <v>2.3774050640285215E-2</v>
      </c>
      <c r="K43" s="184">
        <v>1.4939078859414836E-2</v>
      </c>
      <c r="L43" s="184">
        <v>8.7471054677987301E-3</v>
      </c>
      <c r="M43" s="184">
        <v>4.7434408643231294E-3</v>
      </c>
    </row>
    <row r="44" spans="1:13" s="13" customFormat="1">
      <c r="A44" s="2"/>
      <c r="B44" s="33">
        <v>6</v>
      </c>
      <c r="C44" s="13" t="s">
        <v>10</v>
      </c>
      <c r="D44" s="13" t="s">
        <v>60</v>
      </c>
      <c r="E44" s="13" t="s">
        <v>61</v>
      </c>
      <c r="F44" s="184">
        <v>6.6634751773049644E-2</v>
      </c>
      <c r="G44" s="184">
        <v>7.0008730232984179E-2</v>
      </c>
      <c r="H44" s="184">
        <v>5.7103711444176586E-2</v>
      </c>
      <c r="I44" s="184">
        <v>4.3469052859844204E-2</v>
      </c>
      <c r="J44" s="184">
        <v>2.3774050640285215E-2</v>
      </c>
      <c r="K44" s="184">
        <v>1.4939078859414836E-2</v>
      </c>
      <c r="L44" s="184">
        <v>8.7471054677987301E-3</v>
      </c>
      <c r="M44" s="184">
        <v>4.7434408643231294E-3</v>
      </c>
    </row>
    <row r="45" spans="1:13" s="13" customFormat="1">
      <c r="A45" s="2"/>
      <c r="B45" s="33" t="s">
        <v>48</v>
      </c>
      <c r="C45" s="13" t="s">
        <v>47</v>
      </c>
      <c r="D45" s="13" t="s">
        <v>60</v>
      </c>
      <c r="E45" s="13" t="s">
        <v>61</v>
      </c>
      <c r="F45" s="184">
        <v>6.6634751773049644E-2</v>
      </c>
      <c r="G45" s="184">
        <v>7.0008730232984179E-2</v>
      </c>
      <c r="H45" s="184">
        <v>5.7103711444176586E-2</v>
      </c>
      <c r="I45" s="184">
        <v>4.3469052859844204E-2</v>
      </c>
      <c r="J45" s="184">
        <v>2.3774050640285215E-2</v>
      </c>
      <c r="K45" s="184">
        <v>1.4939078859414836E-2</v>
      </c>
      <c r="L45" s="184">
        <v>8.7471054677987301E-3</v>
      </c>
      <c r="M45" s="184">
        <v>4.7434408643231294E-3</v>
      </c>
    </row>
    <row r="46" spans="1:13" s="13" customFormat="1">
      <c r="A46" s="2"/>
      <c r="B46" s="33" t="s">
        <v>46</v>
      </c>
      <c r="C46" s="13" t="s">
        <v>45</v>
      </c>
      <c r="D46" s="13" t="s">
        <v>60</v>
      </c>
      <c r="E46" s="13" t="s">
        <v>61</v>
      </c>
      <c r="F46" s="184">
        <v>6.6634751773049644E-2</v>
      </c>
      <c r="G46" s="184">
        <v>7.0008730232984179E-2</v>
      </c>
      <c r="H46" s="184">
        <v>5.7103711444176586E-2</v>
      </c>
      <c r="I46" s="184">
        <v>4.3469052859844204E-2</v>
      </c>
      <c r="J46" s="184">
        <v>2.3774050640285215E-2</v>
      </c>
      <c r="K46" s="184">
        <v>1.4939078859414836E-2</v>
      </c>
      <c r="L46" s="184">
        <v>8.7471054677987301E-3</v>
      </c>
      <c r="M46" s="184">
        <v>4.7434408643231294E-3</v>
      </c>
    </row>
    <row r="47" spans="1:13" s="13" customFormat="1">
      <c r="A47" s="2"/>
      <c r="B47" s="33" t="s">
        <v>44</v>
      </c>
      <c r="C47" s="13" t="s">
        <v>43</v>
      </c>
      <c r="D47" s="13" t="s">
        <v>60</v>
      </c>
      <c r="E47" s="13" t="s">
        <v>61</v>
      </c>
      <c r="F47" s="184">
        <v>6.6634751773049644E-2</v>
      </c>
      <c r="G47" s="184">
        <v>6.6485815602836881E-2</v>
      </c>
      <c r="H47" s="184">
        <v>6.3285455868444057E-2</v>
      </c>
      <c r="I47" s="184">
        <v>6.0134751773049652E-2</v>
      </c>
      <c r="J47" s="184">
        <v>4.9684397163120571E-2</v>
      </c>
      <c r="K47" s="184">
        <v>3.924113475177305E-2</v>
      </c>
      <c r="L47" s="184">
        <v>2.9455605463469533E-2</v>
      </c>
      <c r="M47" s="184">
        <v>1.9074468085106381E-2</v>
      </c>
    </row>
    <row r="48" spans="1:13" s="13" customFormat="1">
      <c r="A48" s="2"/>
      <c r="B48" s="33"/>
      <c r="F48" s="184"/>
      <c r="G48" s="184"/>
      <c r="H48" s="184"/>
      <c r="I48" s="184"/>
      <c r="J48" s="184"/>
      <c r="K48" s="184"/>
      <c r="L48" s="184"/>
      <c r="M48" s="184"/>
    </row>
    <row r="49" spans="1:14" s="13" customFormat="1">
      <c r="A49" s="2"/>
      <c r="B49" s="33">
        <v>1</v>
      </c>
      <c r="C49" s="13" t="s">
        <v>19</v>
      </c>
      <c r="D49" s="13" t="s">
        <v>60</v>
      </c>
      <c r="E49" s="13" t="s">
        <v>59</v>
      </c>
      <c r="F49" s="184">
        <v>66.634751773049643</v>
      </c>
      <c r="G49" s="184">
        <v>70.008730232984178</v>
      </c>
      <c r="H49" s="184">
        <v>57.103711444176582</v>
      </c>
      <c r="I49" s="184">
        <v>43.469052859844204</v>
      </c>
      <c r="J49" s="184">
        <v>23.774050640285214</v>
      </c>
      <c r="K49" s="184">
        <v>14.939078859414836</v>
      </c>
      <c r="L49" s="184">
        <v>8.7471054677987308</v>
      </c>
      <c r="M49" s="184">
        <v>4.7434408643231292</v>
      </c>
    </row>
    <row r="50" spans="1:14" s="13" customFormat="1">
      <c r="A50" s="2"/>
      <c r="B50" s="33">
        <v>4</v>
      </c>
      <c r="C50" s="13" t="s">
        <v>57</v>
      </c>
      <c r="D50" s="13" t="s">
        <v>60</v>
      </c>
      <c r="E50" s="13" t="s">
        <v>59</v>
      </c>
      <c r="F50" s="184">
        <v>82.888172365172153</v>
      </c>
      <c r="G50" s="184">
        <v>69.867813647778263</v>
      </c>
      <c r="H50" s="184">
        <v>55.008853561572813</v>
      </c>
      <c r="I50" s="184">
        <v>41.208021241904341</v>
      </c>
      <c r="J50" s="184">
        <v>21.447402311544558</v>
      </c>
      <c r="K50" s="184">
        <v>13.394485647330455</v>
      </c>
      <c r="L50" s="184">
        <v>9.2511170442009689</v>
      </c>
      <c r="M50" s="184">
        <v>5.6018381503658068</v>
      </c>
    </row>
    <row r="51" spans="1:14" s="13" customFormat="1">
      <c r="A51" s="2"/>
      <c r="B51" s="33">
        <v>5</v>
      </c>
      <c r="C51" s="13" t="s">
        <v>51</v>
      </c>
      <c r="D51" s="13" t="s">
        <v>60</v>
      </c>
      <c r="E51" s="13" t="s">
        <v>59</v>
      </c>
      <c r="F51" s="184">
        <v>66.634751773049643</v>
      </c>
      <c r="G51" s="184">
        <v>70.008730232984178</v>
      </c>
      <c r="H51" s="184">
        <v>57.103711444176582</v>
      </c>
      <c r="I51" s="184">
        <v>43.469052859844204</v>
      </c>
      <c r="J51" s="184">
        <v>23.774050640285214</v>
      </c>
      <c r="K51" s="184">
        <v>14.939078859414836</v>
      </c>
      <c r="L51" s="184">
        <v>8.7471054677987308</v>
      </c>
      <c r="M51" s="184">
        <v>4.7434408643231292</v>
      </c>
    </row>
    <row r="52" spans="1:14" s="13" customFormat="1">
      <c r="A52" s="2"/>
      <c r="B52" s="33">
        <v>6</v>
      </c>
      <c r="C52" s="13" t="s">
        <v>10</v>
      </c>
      <c r="D52" s="13" t="s">
        <v>60</v>
      </c>
      <c r="E52" s="13" t="s">
        <v>59</v>
      </c>
      <c r="F52" s="184">
        <v>66.634751773049643</v>
      </c>
      <c r="G52" s="184">
        <v>70.008730232984178</v>
      </c>
      <c r="H52" s="184">
        <v>57.103711444176582</v>
      </c>
      <c r="I52" s="184">
        <v>43.469052859844204</v>
      </c>
      <c r="J52" s="184">
        <v>23.774050640285214</v>
      </c>
      <c r="K52" s="184">
        <v>14.939078859414836</v>
      </c>
      <c r="L52" s="184">
        <v>8.7471054677987308</v>
      </c>
      <c r="M52" s="184">
        <v>4.7434408643231292</v>
      </c>
    </row>
    <row r="53" spans="1:14" s="13" customFormat="1">
      <c r="A53" s="2"/>
      <c r="B53" s="33" t="s">
        <v>48</v>
      </c>
      <c r="C53" s="13" t="s">
        <v>47</v>
      </c>
      <c r="D53" s="13" t="s">
        <v>60</v>
      </c>
      <c r="E53" s="13" t="s">
        <v>59</v>
      </c>
      <c r="F53" s="184">
        <v>66.634751773049643</v>
      </c>
      <c r="G53" s="184">
        <v>70.008730232984178</v>
      </c>
      <c r="H53" s="184">
        <v>57.103711444176582</v>
      </c>
      <c r="I53" s="184">
        <v>43.469052859844204</v>
      </c>
      <c r="J53" s="184">
        <v>23.774050640285214</v>
      </c>
      <c r="K53" s="184">
        <v>14.939078859414836</v>
      </c>
      <c r="L53" s="184">
        <v>8.7471054677987308</v>
      </c>
      <c r="M53" s="184">
        <v>4.7434408643231292</v>
      </c>
    </row>
    <row r="54" spans="1:14" s="13" customFormat="1">
      <c r="A54" s="2"/>
      <c r="B54" s="33" t="s">
        <v>46</v>
      </c>
      <c r="C54" s="13" t="s">
        <v>45</v>
      </c>
      <c r="D54" s="13" t="s">
        <v>60</v>
      </c>
      <c r="E54" s="13" t="s">
        <v>59</v>
      </c>
      <c r="F54" s="184">
        <v>66.634751773049643</v>
      </c>
      <c r="G54" s="184">
        <v>70.008730232984178</v>
      </c>
      <c r="H54" s="184">
        <v>57.103711444176582</v>
      </c>
      <c r="I54" s="184">
        <v>43.469052859844204</v>
      </c>
      <c r="J54" s="184">
        <v>23.774050640285214</v>
      </c>
      <c r="K54" s="184">
        <v>14.939078859414836</v>
      </c>
      <c r="L54" s="184">
        <v>8.7471054677987308</v>
      </c>
      <c r="M54" s="184">
        <v>4.7434408643231292</v>
      </c>
    </row>
    <row r="55" spans="1:14" s="13" customFormat="1">
      <c r="A55" s="2"/>
      <c r="B55" s="33" t="s">
        <v>44</v>
      </c>
      <c r="C55" s="13" t="s">
        <v>43</v>
      </c>
      <c r="D55" s="13" t="s">
        <v>60</v>
      </c>
      <c r="E55" s="13" t="s">
        <v>59</v>
      </c>
      <c r="F55" s="184">
        <v>66.634751773049643</v>
      </c>
      <c r="G55" s="184">
        <v>66.48581560283688</v>
      </c>
      <c r="H55" s="184">
        <v>63.28545586844406</v>
      </c>
      <c r="I55" s="184">
        <v>60.134751773049651</v>
      </c>
      <c r="J55" s="184">
        <v>49.684397163120572</v>
      </c>
      <c r="K55" s="184">
        <v>39.241134751773053</v>
      </c>
      <c r="L55" s="184">
        <v>29.455605463469531</v>
      </c>
      <c r="M55" s="184">
        <v>19.074468085106382</v>
      </c>
    </row>
    <row r="56" spans="1:14">
      <c r="B56" s="33"/>
      <c r="C56" s="13"/>
      <c r="F56" s="40"/>
      <c r="G56" s="39"/>
      <c r="H56" s="39"/>
      <c r="I56" s="39"/>
      <c r="J56" s="39"/>
      <c r="K56" s="39"/>
      <c r="L56" s="39"/>
      <c r="M56" s="39"/>
      <c r="N56" s="13"/>
    </row>
    <row r="57" spans="1:14" s="38" customFormat="1">
      <c r="A57" s="31"/>
      <c r="B57" s="30"/>
      <c r="C57" s="30" t="s">
        <v>58</v>
      </c>
      <c r="D57" s="30" t="s">
        <v>32</v>
      </c>
      <c r="E57" s="30" t="s">
        <v>0</v>
      </c>
      <c r="F57" s="185">
        <f t="shared" ref="F57:M57" si="1">F58+F59+F70+F75+F78+F79+F80</f>
        <v>0</v>
      </c>
      <c r="G57" s="185">
        <f t="shared" si="1"/>
        <v>-0.87768648501832747</v>
      </c>
      <c r="H57" s="185">
        <f t="shared" si="1"/>
        <v>5.7485146401823277</v>
      </c>
      <c r="I57" s="185">
        <f t="shared" si="1"/>
        <v>36.705770915293826</v>
      </c>
      <c r="J57" s="185">
        <f t="shared" si="1"/>
        <v>92.051644679569776</v>
      </c>
      <c r="K57" s="185">
        <f t="shared" si="1"/>
        <v>191.89051965570758</v>
      </c>
      <c r="L57" s="185">
        <f t="shared" si="1"/>
        <v>301.9406536391661</v>
      </c>
      <c r="M57" s="185">
        <f t="shared" si="1"/>
        <v>562.30213576312531</v>
      </c>
      <c r="N57" s="30"/>
    </row>
    <row r="58" spans="1:14">
      <c r="B58" s="33">
        <v>1</v>
      </c>
      <c r="C58" s="13" t="s">
        <v>19</v>
      </c>
      <c r="D58" s="1" t="s">
        <v>32</v>
      </c>
      <c r="E58" s="1" t="s">
        <v>0</v>
      </c>
      <c r="F58" s="186">
        <v>0</v>
      </c>
      <c r="G58" s="186">
        <v>-0.17299669747711136</v>
      </c>
      <c r="H58" s="186">
        <v>-6.2493869184028571E-2</v>
      </c>
      <c r="I58" s="186">
        <v>2.9199699056582635</v>
      </c>
      <c r="J58" s="186">
        <v>7.3911167643761697</v>
      </c>
      <c r="K58" s="186">
        <v>10.507904899888189</v>
      </c>
      <c r="L58" s="186">
        <v>13.400086834183895</v>
      </c>
      <c r="M58" s="187">
        <v>18.912024889176223</v>
      </c>
      <c r="N58" s="14"/>
    </row>
    <row r="59" spans="1:14">
      <c r="B59" s="33">
        <v>4</v>
      </c>
      <c r="C59" s="13" t="s">
        <v>57</v>
      </c>
      <c r="D59" s="1" t="s">
        <v>32</v>
      </c>
      <c r="E59" s="1" t="s">
        <v>0</v>
      </c>
      <c r="F59" s="186">
        <v>0</v>
      </c>
      <c r="G59" s="186">
        <v>8.1462460800702848E-3</v>
      </c>
      <c r="H59" s="186">
        <v>0.93959891150427644</v>
      </c>
      <c r="I59" s="186">
        <v>13.881990435485871</v>
      </c>
      <c r="J59" s="186">
        <v>32.08286492964826</v>
      </c>
      <c r="K59" s="186">
        <v>85.274754492540879</v>
      </c>
      <c r="L59" s="186">
        <v>123.62959219310972</v>
      </c>
      <c r="M59" s="187">
        <v>249.90135590501069</v>
      </c>
      <c r="N59" s="37"/>
    </row>
    <row r="60" spans="1:14" s="13" customFormat="1">
      <c r="A60" s="2"/>
      <c r="B60" s="33"/>
      <c r="C60" s="12" t="s">
        <v>18</v>
      </c>
      <c r="D60" s="13" t="s">
        <v>32</v>
      </c>
      <c r="E60" s="13" t="s">
        <v>0</v>
      </c>
      <c r="F60" s="188">
        <v>0</v>
      </c>
      <c r="G60" s="188">
        <v>1.3702892269100655E-6</v>
      </c>
      <c r="H60" s="188">
        <v>2.2827331333083841E-4</v>
      </c>
      <c r="I60" s="188">
        <v>2.4500926498973318E-3</v>
      </c>
      <c r="J60" s="188">
        <v>1.2916150083240256E-2</v>
      </c>
      <c r="K60" s="188">
        <v>3.6417197820863473E-2</v>
      </c>
      <c r="L60" s="188">
        <v>9.0266090846604655E-2</v>
      </c>
      <c r="M60" s="188">
        <v>0.20322760695799785</v>
      </c>
      <c r="N60" s="36"/>
    </row>
    <row r="61" spans="1:14" s="13" customFormat="1">
      <c r="A61" s="2"/>
      <c r="B61" s="33"/>
      <c r="C61" s="12" t="s">
        <v>56</v>
      </c>
      <c r="D61" s="13" t="s">
        <v>32</v>
      </c>
      <c r="E61" s="13" t="s">
        <v>0</v>
      </c>
      <c r="F61" s="188">
        <v>0</v>
      </c>
      <c r="G61" s="188">
        <v>1.1653750556655685E-3</v>
      </c>
      <c r="H61" s="188">
        <v>0.33417205154864543</v>
      </c>
      <c r="I61" s="188">
        <v>3.3703182940247665</v>
      </c>
      <c r="J61" s="188">
        <v>14.591216588398233</v>
      </c>
      <c r="K61" s="188">
        <v>31.162615037993294</v>
      </c>
      <c r="L61" s="188">
        <v>51.027784473831503</v>
      </c>
      <c r="M61" s="188">
        <v>81.330440784814897</v>
      </c>
      <c r="N61" s="36"/>
    </row>
    <row r="62" spans="1:14" s="13" customFormat="1">
      <c r="A62" s="2"/>
      <c r="B62" s="33"/>
      <c r="C62" s="12" t="s">
        <v>55</v>
      </c>
      <c r="D62" s="13" t="s">
        <v>32</v>
      </c>
      <c r="E62" s="13" t="s">
        <v>0</v>
      </c>
      <c r="F62" s="188">
        <v>0</v>
      </c>
      <c r="G62" s="188">
        <v>2.1565493557607327E-3</v>
      </c>
      <c r="H62" s="188">
        <v>0.36093580885564941</v>
      </c>
      <c r="I62" s="188">
        <v>2.3571528914875497</v>
      </c>
      <c r="J62" s="188">
        <v>7.1110147200204983</v>
      </c>
      <c r="K62" s="188">
        <v>11.267295437388771</v>
      </c>
      <c r="L62" s="188">
        <v>15.357826680900063</v>
      </c>
      <c r="M62" s="188">
        <v>20.144381610637119</v>
      </c>
      <c r="N62" s="36"/>
    </row>
    <row r="63" spans="1:14" s="13" customFormat="1">
      <c r="A63" s="2"/>
      <c r="B63" s="33"/>
      <c r="C63" s="12" t="s">
        <v>54</v>
      </c>
      <c r="D63" s="13" t="s">
        <v>32</v>
      </c>
      <c r="E63" s="13" t="s">
        <v>0</v>
      </c>
      <c r="F63" s="188">
        <v>0</v>
      </c>
      <c r="G63" s="188">
        <v>7.2981575864901305E-4</v>
      </c>
      <c r="H63" s="188">
        <v>0.14095121493171203</v>
      </c>
      <c r="I63" s="188">
        <v>1.381812237874221</v>
      </c>
      <c r="J63" s="188">
        <v>5.8904725761917787</v>
      </c>
      <c r="K63" s="188">
        <v>12.256557102906086</v>
      </c>
      <c r="L63" s="188">
        <v>20.658094457134791</v>
      </c>
      <c r="M63" s="188">
        <v>34.407549910589822</v>
      </c>
      <c r="N63" s="36"/>
    </row>
    <row r="64" spans="1:14" s="13" customFormat="1">
      <c r="A64" s="2"/>
      <c r="B64" s="33"/>
      <c r="C64" s="12" t="s">
        <v>53</v>
      </c>
      <c r="D64" s="13" t="s">
        <v>32</v>
      </c>
      <c r="E64" s="13" t="s">
        <v>0</v>
      </c>
      <c r="F64" s="188">
        <v>0</v>
      </c>
      <c r="G64" s="188">
        <v>3.902343428651893E-4</v>
      </c>
      <c r="H64" s="188">
        <v>4.3143514706025225E-2</v>
      </c>
      <c r="I64" s="188">
        <v>0.2761289989616017</v>
      </c>
      <c r="J64" s="188">
        <v>1.1057019871285574</v>
      </c>
      <c r="K64" s="188">
        <v>2.3973670331695489</v>
      </c>
      <c r="L64" s="188">
        <v>4.2786253712777436</v>
      </c>
      <c r="M64" s="188">
        <v>7.1654232321866269</v>
      </c>
      <c r="N64" s="36"/>
    </row>
    <row r="65" spans="1:14" s="13" customFormat="1">
      <c r="A65" s="2"/>
      <c r="B65" s="33"/>
      <c r="C65" s="12" t="s">
        <v>52</v>
      </c>
      <c r="D65" s="13" t="s">
        <v>32</v>
      </c>
      <c r="E65" s="13" t="s">
        <v>0</v>
      </c>
      <c r="F65" s="188">
        <v>0</v>
      </c>
      <c r="G65" s="188">
        <v>1.2714464282206656E-4</v>
      </c>
      <c r="H65" s="188">
        <v>3.9919311200323805E-2</v>
      </c>
      <c r="I65" s="188">
        <v>0.48138695944343746</v>
      </c>
      <c r="J65" s="188">
        <v>2.9141925136610176</v>
      </c>
      <c r="K65" s="188">
        <v>10.759229802945567</v>
      </c>
      <c r="L65" s="188">
        <v>27.710432474571366</v>
      </c>
      <c r="M65" s="188">
        <v>53.92218499722329</v>
      </c>
      <c r="N65" s="36"/>
    </row>
    <row r="66" spans="1:14" s="13" customFormat="1">
      <c r="A66" s="2"/>
      <c r="B66" s="33"/>
      <c r="C66" s="12" t="s">
        <v>14</v>
      </c>
      <c r="D66" s="13" t="s">
        <v>32</v>
      </c>
      <c r="E66" s="13" t="s">
        <v>0</v>
      </c>
      <c r="F66" s="188">
        <v>0</v>
      </c>
      <c r="G66" s="188">
        <v>3.4130152347515181E-4</v>
      </c>
      <c r="H66" s="188">
        <v>2.0248736948589759E-2</v>
      </c>
      <c r="I66" s="188">
        <v>6.7263166519075948E-2</v>
      </c>
      <c r="J66" s="188">
        <v>0.457350394164938</v>
      </c>
      <c r="K66" s="188">
        <v>1.9307236456115036</v>
      </c>
      <c r="L66" s="188">
        <v>4.5065626445476186</v>
      </c>
      <c r="M66" s="188">
        <v>8.1801660542730712</v>
      </c>
      <c r="N66" s="36"/>
    </row>
    <row r="67" spans="1:14" s="13" customFormat="1">
      <c r="A67" s="2"/>
      <c r="B67" s="33"/>
      <c r="C67" s="12" t="s">
        <v>13</v>
      </c>
      <c r="D67" s="13" t="s">
        <v>32</v>
      </c>
      <c r="E67" s="13" t="s">
        <v>0</v>
      </c>
      <c r="F67" s="188">
        <v>0</v>
      </c>
      <c r="G67" s="188">
        <v>0</v>
      </c>
      <c r="H67" s="188">
        <v>0</v>
      </c>
      <c r="I67" s="188">
        <v>0.2603021399041851</v>
      </c>
      <c r="J67" s="188">
        <v>0</v>
      </c>
      <c r="K67" s="188">
        <v>0.92306536588178589</v>
      </c>
      <c r="L67" s="188">
        <v>0</v>
      </c>
      <c r="M67" s="188">
        <v>11.771763353045339</v>
      </c>
      <c r="N67" s="36"/>
    </row>
    <row r="68" spans="1:14" s="13" customFormat="1">
      <c r="A68" s="2"/>
      <c r="B68" s="33"/>
      <c r="C68" s="12" t="s">
        <v>12</v>
      </c>
      <c r="D68" s="13" t="s">
        <v>32</v>
      </c>
      <c r="E68" s="13" t="s">
        <v>0</v>
      </c>
      <c r="F68" s="188">
        <v>0</v>
      </c>
      <c r="G68" s="188">
        <v>0</v>
      </c>
      <c r="H68" s="188">
        <v>0</v>
      </c>
      <c r="I68" s="188">
        <v>3.5370417279081026</v>
      </c>
      <c r="J68" s="188">
        <v>0</v>
      </c>
      <c r="K68" s="188">
        <v>7.2257605443659836</v>
      </c>
      <c r="L68" s="188">
        <v>0</v>
      </c>
      <c r="M68" s="188">
        <v>21.433480457537783</v>
      </c>
      <c r="N68" s="36"/>
    </row>
    <row r="69" spans="1:14" s="13" customFormat="1">
      <c r="A69" s="2"/>
      <c r="B69" s="33"/>
      <c r="C69" s="12" t="s">
        <v>11</v>
      </c>
      <c r="D69" s="13" t="s">
        <v>32</v>
      </c>
      <c r="E69" s="13" t="s">
        <v>0</v>
      </c>
      <c r="F69" s="188">
        <v>0</v>
      </c>
      <c r="G69" s="188">
        <v>3.2344551116056516E-3</v>
      </c>
      <c r="H69" s="188">
        <v>0</v>
      </c>
      <c r="I69" s="188">
        <v>2.1481339267130357</v>
      </c>
      <c r="J69" s="188">
        <v>0</v>
      </c>
      <c r="K69" s="188">
        <v>7.3157233244574522</v>
      </c>
      <c r="L69" s="188">
        <v>0</v>
      </c>
      <c r="M69" s="188">
        <v>11.342737897744765</v>
      </c>
      <c r="N69" s="36"/>
    </row>
    <row r="70" spans="1:14">
      <c r="B70" s="34">
        <v>5</v>
      </c>
      <c r="C70" s="7" t="s">
        <v>51</v>
      </c>
      <c r="D70" s="1" t="s">
        <v>32</v>
      </c>
      <c r="E70" s="1" t="s">
        <v>0</v>
      </c>
      <c r="F70" s="187">
        <v>0</v>
      </c>
      <c r="G70" s="187">
        <v>0</v>
      </c>
      <c r="H70" s="187">
        <v>0</v>
      </c>
      <c r="I70" s="187">
        <v>0.88248432917023767</v>
      </c>
      <c r="J70" s="187">
        <v>3.855160047611228</v>
      </c>
      <c r="K70" s="187">
        <v>10.142782697091342</v>
      </c>
      <c r="L70" s="187">
        <v>24.930436484902295</v>
      </c>
      <c r="M70" s="187">
        <v>60.167781788483772</v>
      </c>
    </row>
    <row r="71" spans="1:14">
      <c r="B71" s="33"/>
      <c r="C71" s="4" t="s">
        <v>9</v>
      </c>
      <c r="D71" s="1" t="s">
        <v>32</v>
      </c>
      <c r="E71" s="1" t="s">
        <v>0</v>
      </c>
      <c r="F71" s="186">
        <v>0</v>
      </c>
      <c r="G71" s="186">
        <v>0</v>
      </c>
      <c r="H71" s="186">
        <v>0</v>
      </c>
      <c r="I71" s="186">
        <v>0.88248432917023789</v>
      </c>
      <c r="J71" s="186">
        <v>2.9851834700894031</v>
      </c>
      <c r="K71" s="186">
        <v>7.5239157416340197</v>
      </c>
      <c r="L71" s="186">
        <v>17.554725065361325</v>
      </c>
      <c r="M71" s="186">
        <v>39.776213281983857</v>
      </c>
    </row>
    <row r="72" spans="1:14">
      <c r="B72" s="33"/>
      <c r="C72" s="4" t="s">
        <v>8</v>
      </c>
      <c r="D72" s="1" t="s">
        <v>32</v>
      </c>
      <c r="E72" s="1" t="s">
        <v>0</v>
      </c>
      <c r="F72" s="186">
        <v>0</v>
      </c>
      <c r="G72" s="186">
        <v>0</v>
      </c>
      <c r="H72" s="186">
        <v>0</v>
      </c>
      <c r="I72" s="186">
        <v>0</v>
      </c>
      <c r="J72" s="186">
        <v>0.33727942310451325</v>
      </c>
      <c r="K72" s="186">
        <v>1.1470769766766178</v>
      </c>
      <c r="L72" s="186">
        <v>3.6113742173634575</v>
      </c>
      <c r="M72" s="186">
        <v>11.041592577847998</v>
      </c>
    </row>
    <row r="73" spans="1:14">
      <c r="B73" s="33"/>
      <c r="C73" s="4" t="s">
        <v>7</v>
      </c>
      <c r="D73" s="1" t="s">
        <v>32</v>
      </c>
      <c r="E73" s="1" t="s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0.53269715441731136</v>
      </c>
      <c r="K73" s="186">
        <v>1.4717899787807045</v>
      </c>
      <c r="L73" s="186">
        <v>3.7643372021775106</v>
      </c>
      <c r="M73" s="186">
        <v>9.3499759286519151</v>
      </c>
    </row>
    <row r="74" spans="1:14">
      <c r="B74" s="33"/>
      <c r="C74" s="4" t="s">
        <v>49</v>
      </c>
      <c r="D74" s="1" t="s">
        <v>32</v>
      </c>
      <c r="E74" s="1" t="s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</row>
    <row r="75" spans="1:14">
      <c r="B75" s="34">
        <v>6</v>
      </c>
      <c r="C75" s="7" t="s">
        <v>10</v>
      </c>
      <c r="D75" s="1" t="s">
        <v>32</v>
      </c>
      <c r="E75" s="1" t="s">
        <v>0</v>
      </c>
      <c r="F75" s="187">
        <v>0</v>
      </c>
      <c r="G75" s="187">
        <v>-0.91719813693445662</v>
      </c>
      <c r="H75" s="187">
        <v>-8.9588646298981361E-2</v>
      </c>
      <c r="I75" s="187">
        <v>1.4963221169945102</v>
      </c>
      <c r="J75" s="187">
        <v>7.6870439657809317</v>
      </c>
      <c r="K75" s="187">
        <v>19.980775266107521</v>
      </c>
      <c r="L75" s="187">
        <v>47.297707370372123</v>
      </c>
      <c r="M75" s="187">
        <v>107.16209755052905</v>
      </c>
    </row>
    <row r="76" spans="1:14">
      <c r="B76" s="33"/>
      <c r="C76" s="4" t="s">
        <v>50</v>
      </c>
      <c r="D76" s="1" t="s">
        <v>32</v>
      </c>
      <c r="E76" s="1" t="s">
        <v>0</v>
      </c>
      <c r="F76" s="186">
        <v>0</v>
      </c>
      <c r="G76" s="186">
        <v>-0.89084112722555275</v>
      </c>
      <c r="H76" s="186">
        <v>-8.616657031567207E-2</v>
      </c>
      <c r="I76" s="186">
        <v>1.4144150302672096</v>
      </c>
      <c r="J76" s="186">
        <v>7.0946511482807084</v>
      </c>
      <c r="K76" s="186">
        <v>17.849121072876791</v>
      </c>
      <c r="L76" s="186">
        <v>40.378526688596757</v>
      </c>
      <c r="M76" s="186">
        <v>86.043834897670123</v>
      </c>
    </row>
    <row r="77" spans="1:14">
      <c r="B77" s="33"/>
      <c r="C77" s="4" t="s">
        <v>49</v>
      </c>
      <c r="D77" s="1" t="s">
        <v>32</v>
      </c>
      <c r="E77" s="1" t="s">
        <v>0</v>
      </c>
      <c r="F77" s="186">
        <v>0</v>
      </c>
      <c r="G77" s="186">
        <v>-2.6357009708903766E-2</v>
      </c>
      <c r="H77" s="186">
        <v>-3.4220759833092761E-3</v>
      </c>
      <c r="I77" s="186">
        <v>8.1907086727300557E-2</v>
      </c>
      <c r="J77" s="186">
        <v>0.59239281750022388</v>
      </c>
      <c r="K77" s="186">
        <v>2.1316541932307298</v>
      </c>
      <c r="L77" s="186">
        <v>6.9191806817753703</v>
      </c>
      <c r="M77" s="186">
        <v>21.118262652858938</v>
      </c>
    </row>
    <row r="78" spans="1:14">
      <c r="B78" s="34" t="s">
        <v>48</v>
      </c>
      <c r="C78" s="7" t="s">
        <v>47</v>
      </c>
      <c r="D78" s="1" t="s">
        <v>32</v>
      </c>
      <c r="E78" s="1" t="s">
        <v>0</v>
      </c>
      <c r="F78" s="189">
        <v>0</v>
      </c>
      <c r="G78" s="189">
        <v>0</v>
      </c>
      <c r="H78" s="189"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35"/>
    </row>
    <row r="79" spans="1:14">
      <c r="B79" s="34" t="s">
        <v>46</v>
      </c>
      <c r="C79" s="7" t="s">
        <v>45</v>
      </c>
      <c r="D79" s="1" t="s">
        <v>32</v>
      </c>
      <c r="E79" s="1" t="s">
        <v>0</v>
      </c>
      <c r="F79" s="190">
        <v>0</v>
      </c>
      <c r="G79" s="190">
        <v>0</v>
      </c>
      <c r="H79" s="190">
        <v>0</v>
      </c>
      <c r="I79" s="190">
        <v>7.5322168292303182</v>
      </c>
      <c r="J79" s="190">
        <v>15.2478405233204</v>
      </c>
      <c r="K79" s="190">
        <v>25.218505674090967</v>
      </c>
      <c r="L79" s="190">
        <v>38.805609012147791</v>
      </c>
      <c r="M79" s="190">
        <v>59.239143875746919</v>
      </c>
    </row>
    <row r="80" spans="1:14">
      <c r="B80" s="34" t="s">
        <v>44</v>
      </c>
      <c r="C80" s="7" t="s">
        <v>43</v>
      </c>
      <c r="D80" s="1" t="s">
        <v>32</v>
      </c>
      <c r="E80" s="1" t="s">
        <v>0</v>
      </c>
      <c r="F80" s="190">
        <v>0</v>
      </c>
      <c r="G80" s="190">
        <v>0.20436210331317017</v>
      </c>
      <c r="H80" s="190">
        <v>4.9609982441610612</v>
      </c>
      <c r="I80" s="190">
        <v>9.9927872987546262</v>
      </c>
      <c r="J80" s="190">
        <v>25.787618448832784</v>
      </c>
      <c r="K80" s="190">
        <v>40.765796625988692</v>
      </c>
      <c r="L80" s="190">
        <v>53.877221744450324</v>
      </c>
      <c r="M80" s="190">
        <v>66.919731754178684</v>
      </c>
    </row>
    <row r="81" spans="1:14" ht="30">
      <c r="B81" s="33"/>
      <c r="C81" s="5" t="s">
        <v>6</v>
      </c>
      <c r="D81" s="1" t="s">
        <v>32</v>
      </c>
      <c r="E81" s="1" t="s">
        <v>0</v>
      </c>
      <c r="F81" s="190">
        <v>0</v>
      </c>
      <c r="G81" s="191">
        <v>0.10478092076756633</v>
      </c>
      <c r="H81" s="191">
        <v>2.5245969560714356</v>
      </c>
      <c r="I81" s="191">
        <v>5.1502502603013234</v>
      </c>
      <c r="J81" s="191">
        <v>14.063479961455066</v>
      </c>
      <c r="K81" s="191">
        <v>23.679549756847994</v>
      </c>
      <c r="L81" s="191">
        <v>33.270794401373294</v>
      </c>
      <c r="M81" s="191">
        <v>43.689037239352182</v>
      </c>
    </row>
    <row r="82" spans="1:14">
      <c r="B82" s="33"/>
      <c r="C82" s="4" t="s">
        <v>5</v>
      </c>
      <c r="D82" s="1" t="s">
        <v>32</v>
      </c>
      <c r="E82" s="1" t="s">
        <v>0</v>
      </c>
      <c r="F82" s="190">
        <v>0</v>
      </c>
      <c r="G82" s="191">
        <v>9.2340425531913586E-2</v>
      </c>
      <c r="H82" s="191">
        <v>2.2691479753702826</v>
      </c>
      <c r="I82" s="191">
        <v>4.5174999999999956</v>
      </c>
      <c r="J82" s="191">
        <v>10.848226950354604</v>
      </c>
      <c r="K82" s="191">
        <v>15.614361702127653</v>
      </c>
      <c r="L82" s="191">
        <v>18.589573154790052</v>
      </c>
      <c r="M82" s="191">
        <v>20.569822695035459</v>
      </c>
    </row>
    <row r="83" spans="1:14">
      <c r="C83" s="4" t="s">
        <v>4</v>
      </c>
      <c r="D83" s="1" t="s">
        <v>32</v>
      </c>
      <c r="E83" s="1" t="s">
        <v>0</v>
      </c>
      <c r="F83" s="190">
        <v>0</v>
      </c>
      <c r="G83" s="191">
        <v>7.2407570136902794E-3</v>
      </c>
      <c r="H83" s="191">
        <v>0.16725331271934274</v>
      </c>
      <c r="I83" s="191">
        <v>0.32503703845330928</v>
      </c>
      <c r="J83" s="191">
        <v>0.87591153702311508</v>
      </c>
      <c r="K83" s="191">
        <v>1.4718851670130426</v>
      </c>
      <c r="L83" s="191">
        <v>2.0168541882869806</v>
      </c>
      <c r="M83" s="191">
        <v>2.6608718197910339</v>
      </c>
    </row>
    <row r="84" spans="1:14">
      <c r="C84" s="32" t="s">
        <v>42</v>
      </c>
      <c r="D84" s="19" t="s">
        <v>32</v>
      </c>
      <c r="E84" s="19" t="s">
        <v>0</v>
      </c>
      <c r="F84" s="190">
        <v>0</v>
      </c>
      <c r="G84" s="187">
        <v>0.20436210331317017</v>
      </c>
      <c r="H84" s="187">
        <v>4.9609982441610612</v>
      </c>
      <c r="I84" s="187">
        <v>17.525004127984943</v>
      </c>
      <c r="J84" s="187">
        <v>41.035458972153187</v>
      </c>
      <c r="K84" s="187">
        <v>65.984302300079662</v>
      </c>
      <c r="L84" s="187">
        <v>92.682830756598122</v>
      </c>
      <c r="M84" s="187">
        <v>126.1588756299256</v>
      </c>
    </row>
    <row r="85" spans="1:14">
      <c r="M85" s="17"/>
    </row>
    <row r="86" spans="1:14" s="28" customFormat="1">
      <c r="A86" s="31"/>
      <c r="B86" s="29"/>
      <c r="C86" s="30" t="s">
        <v>41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>
      <c r="C87" s="1" t="s">
        <v>40</v>
      </c>
      <c r="D87" s="1" t="s">
        <v>37</v>
      </c>
      <c r="E87" s="1" t="s">
        <v>0</v>
      </c>
      <c r="F87" s="27">
        <v>3536.4057058355902</v>
      </c>
      <c r="G87" s="26">
        <f>F87*(H87/F87)^(1/2)</f>
        <v>3149.7908179909073</v>
      </c>
      <c r="H87" s="27">
        <v>2805.4423113073308</v>
      </c>
      <c r="I87" s="27">
        <v>2567.1847864456818</v>
      </c>
      <c r="J87" s="27">
        <v>2321.7068676345175</v>
      </c>
      <c r="K87" s="27">
        <v>2136.5427151073573</v>
      </c>
      <c r="L87" s="27">
        <v>2009.2036896169561</v>
      </c>
      <c r="M87" s="27">
        <v>1841.4819374055792</v>
      </c>
      <c r="N87" s="1" t="s">
        <v>39</v>
      </c>
    </row>
    <row r="88" spans="1:14">
      <c r="C88" s="1" t="s">
        <v>38</v>
      </c>
      <c r="D88" s="1" t="s">
        <v>37</v>
      </c>
      <c r="E88" s="1" t="s">
        <v>0</v>
      </c>
      <c r="F88" s="27">
        <v>3536.4057058355861</v>
      </c>
      <c r="G88" s="26">
        <f>F88*(H88/F88)^(1/2)</f>
        <v>2942.3241486995557</v>
      </c>
      <c r="H88" s="27">
        <v>2448.0424804582804</v>
      </c>
      <c r="I88" s="27">
        <v>1884.1791712954962</v>
      </c>
      <c r="J88" s="27">
        <v>1422.2770794699172</v>
      </c>
      <c r="K88" s="27">
        <v>1192.4956669413548</v>
      </c>
      <c r="L88" s="27">
        <v>974.14894106330337</v>
      </c>
      <c r="M88" s="27">
        <v>770.55435253364044</v>
      </c>
      <c r="N88" s="1" t="s">
        <v>36</v>
      </c>
    </row>
    <row r="89" spans="1:14" ht="3.95" customHeight="1">
      <c r="F89" s="26"/>
      <c r="G89" s="26"/>
      <c r="H89" s="26"/>
      <c r="I89" s="26"/>
      <c r="J89" s="26"/>
      <c r="K89" s="26"/>
      <c r="L89" s="26"/>
      <c r="M89" s="26"/>
    </row>
    <row r="90" spans="1:14">
      <c r="C90" s="1" t="s">
        <v>35</v>
      </c>
      <c r="D90" s="1" t="s">
        <v>32</v>
      </c>
      <c r="E90" s="1" t="s">
        <v>0</v>
      </c>
      <c r="F90" s="26"/>
      <c r="G90" s="26">
        <f t="shared" ref="G90:M90" si="2">G87-G88</f>
        <v>207.46666929135154</v>
      </c>
      <c r="H90" s="26">
        <f t="shared" si="2"/>
        <v>357.39983084905043</v>
      </c>
      <c r="I90" s="26">
        <f t="shared" si="2"/>
        <v>683.00561515018558</v>
      </c>
      <c r="J90" s="26">
        <f t="shared" si="2"/>
        <v>899.42978816460027</v>
      </c>
      <c r="K90" s="26">
        <f t="shared" si="2"/>
        <v>944.04704816600247</v>
      </c>
      <c r="L90" s="26">
        <f t="shared" si="2"/>
        <v>1035.0547485536526</v>
      </c>
      <c r="M90" s="26">
        <f t="shared" si="2"/>
        <v>1070.9275848719387</v>
      </c>
    </row>
    <row r="91" spans="1:14" s="19" customFormat="1">
      <c r="A91" s="2"/>
      <c r="C91" s="19" t="s">
        <v>34</v>
      </c>
      <c r="D91" s="19" t="s">
        <v>32</v>
      </c>
      <c r="E91" s="19" t="s">
        <v>30</v>
      </c>
      <c r="G91" s="25">
        <f t="shared" ref="G91:M91" si="3">G90/G87</f>
        <v>6.586680871197792E-2</v>
      </c>
      <c r="H91" s="25">
        <f t="shared" si="3"/>
        <v>0.12739518093405486</v>
      </c>
      <c r="I91" s="25">
        <f t="shared" si="3"/>
        <v>0.26605237720180647</v>
      </c>
      <c r="J91" s="25">
        <f t="shared" si="3"/>
        <v>0.3874002358794712</v>
      </c>
      <c r="K91" s="25">
        <f t="shared" si="3"/>
        <v>0.44185732468192934</v>
      </c>
      <c r="L91" s="25">
        <f t="shared" si="3"/>
        <v>0.51515670307721773</v>
      </c>
      <c r="M91" s="25">
        <f t="shared" si="3"/>
        <v>0.58155747450922246</v>
      </c>
    </row>
    <row r="92" spans="1:14">
      <c r="C92" s="1" t="s">
        <v>33</v>
      </c>
      <c r="D92" s="1" t="s">
        <v>32</v>
      </c>
      <c r="E92" s="1" t="s">
        <v>0</v>
      </c>
      <c r="F92" s="9"/>
      <c r="G92" s="9">
        <f t="shared" ref="G92:M92" si="4">G57</f>
        <v>-0.87768648501832747</v>
      </c>
      <c r="H92" s="9">
        <f t="shared" si="4"/>
        <v>5.7485146401823277</v>
      </c>
      <c r="I92" s="9">
        <f t="shared" si="4"/>
        <v>36.705770915293826</v>
      </c>
      <c r="J92" s="9">
        <f t="shared" si="4"/>
        <v>92.051644679569776</v>
      </c>
      <c r="K92" s="9">
        <f t="shared" si="4"/>
        <v>191.89051965570758</v>
      </c>
      <c r="L92" s="9">
        <f t="shared" si="4"/>
        <v>301.9406536391661</v>
      </c>
      <c r="M92" s="9">
        <f t="shared" si="4"/>
        <v>562.30213576312531</v>
      </c>
    </row>
    <row r="93" spans="1:14">
      <c r="C93" s="1" t="s">
        <v>31</v>
      </c>
      <c r="E93" s="1" t="s">
        <v>30</v>
      </c>
      <c r="G93" s="17">
        <f t="shared" ref="G93:M93" si="5">G92/G90</f>
        <v>-4.2304939295370212E-3</v>
      </c>
      <c r="H93" s="17">
        <f t="shared" si="5"/>
        <v>1.6084267937469286E-2</v>
      </c>
      <c r="I93" s="17">
        <f t="shared" si="5"/>
        <v>5.3741536088576111E-2</v>
      </c>
      <c r="J93" s="17">
        <f t="shared" si="5"/>
        <v>0.10234444743865194</v>
      </c>
      <c r="K93" s="17">
        <f t="shared" si="5"/>
        <v>0.20326372507439405</v>
      </c>
      <c r="L93" s="17">
        <f t="shared" si="5"/>
        <v>0.29171466925888395</v>
      </c>
      <c r="M93" s="17">
        <f t="shared" si="5"/>
        <v>0.52506083857235342</v>
      </c>
    </row>
    <row r="94" spans="1:14">
      <c r="M94" s="24"/>
    </row>
    <row r="98" spans="4:14">
      <c r="E98" s="20"/>
      <c r="G98" s="20"/>
    </row>
    <row r="99" spans="4:14">
      <c r="D99" s="23" t="s">
        <v>29</v>
      </c>
      <c r="E99" s="23"/>
      <c r="F99" s="23"/>
      <c r="G99" s="23"/>
      <c r="H99" s="23"/>
      <c r="I99" s="23"/>
      <c r="J99" s="23"/>
      <c r="K99" s="23"/>
    </row>
    <row r="100" spans="4:14" customFormat="1"/>
    <row r="101" spans="4:14" ht="60">
      <c r="D101" s="22" t="s">
        <v>28</v>
      </c>
      <c r="E101" s="22" t="s">
        <v>27</v>
      </c>
      <c r="F101" s="22" t="s">
        <v>26</v>
      </c>
      <c r="G101" s="22" t="s">
        <v>25</v>
      </c>
      <c r="H101" s="22" t="s">
        <v>24</v>
      </c>
      <c r="I101" s="22" t="s">
        <v>23</v>
      </c>
      <c r="J101" s="22" t="s">
        <v>22</v>
      </c>
      <c r="K101" s="22" t="s">
        <v>21</v>
      </c>
      <c r="L101" s="21"/>
    </row>
    <row r="102" spans="4:14">
      <c r="D102" s="15" t="s">
        <v>20</v>
      </c>
      <c r="E102" s="1" t="s">
        <v>0</v>
      </c>
      <c r="F102" s="192">
        <f>SUM(F104:F122)</f>
        <v>3536.4057058355861</v>
      </c>
      <c r="G102" s="192">
        <f>SUM(G103:G122)</f>
        <v>1694.9237684300069</v>
      </c>
      <c r="H102" s="192">
        <f>SUM(H104:H122)</f>
        <v>1841.4819374055792</v>
      </c>
      <c r="I102" s="193">
        <f>SUM(I103:I122)</f>
        <v>562.30213576312531</v>
      </c>
      <c r="J102" s="26">
        <f>H102-I102-K102</f>
        <v>508.62544910881343</v>
      </c>
      <c r="K102" s="26">
        <f>M88</f>
        <v>770.55435253364044</v>
      </c>
      <c r="L102" s="13"/>
      <c r="M102" s="10"/>
    </row>
    <row r="103" spans="4:14">
      <c r="D103" s="18"/>
      <c r="F103" s="192"/>
      <c r="G103" s="192">
        <f>F102-H102</f>
        <v>1694.9237684300069</v>
      </c>
      <c r="H103" s="192"/>
      <c r="I103" s="45"/>
      <c r="J103" s="26"/>
      <c r="K103" s="26"/>
      <c r="L103" s="13"/>
      <c r="M103" s="10"/>
    </row>
    <row r="104" spans="4:14">
      <c r="D104" s="15" t="s">
        <v>19</v>
      </c>
      <c r="E104" s="1" t="s">
        <v>0</v>
      </c>
      <c r="F104" s="192">
        <v>1168.733569</v>
      </c>
      <c r="G104" s="192"/>
      <c r="H104" s="192">
        <v>265.73270855325512</v>
      </c>
      <c r="I104" s="45">
        <f>M58</f>
        <v>18.912024889176223</v>
      </c>
      <c r="J104" s="26"/>
      <c r="K104" s="45"/>
      <c r="L104" s="12"/>
      <c r="M104" s="11"/>
      <c r="N104" s="13"/>
    </row>
    <row r="105" spans="4:14">
      <c r="D105" s="15" t="s">
        <v>18</v>
      </c>
      <c r="E105" s="1" t="s">
        <v>0</v>
      </c>
      <c r="F105" s="192">
        <v>5.586998729153219</v>
      </c>
      <c r="G105" s="192"/>
      <c r="H105" s="192">
        <v>4.9066603808034275</v>
      </c>
      <c r="I105" s="47">
        <f>M60</f>
        <v>0.20322760695799785</v>
      </c>
      <c r="J105" s="26"/>
      <c r="K105" s="45"/>
      <c r="L105" s="12"/>
      <c r="M105" s="11"/>
      <c r="N105" s="13"/>
    </row>
    <row r="106" spans="4:14">
      <c r="D106" s="15" t="s">
        <v>17</v>
      </c>
      <c r="E106" s="1" t="s">
        <v>0</v>
      </c>
      <c r="F106" s="192">
        <v>528.21427214482264</v>
      </c>
      <c r="G106" s="192"/>
      <c r="H106" s="192">
        <v>216.16140905991193</v>
      </c>
      <c r="I106" s="47">
        <f>M61</f>
        <v>81.330440784814897</v>
      </c>
      <c r="J106" s="26"/>
      <c r="K106" s="45"/>
      <c r="L106" s="12"/>
      <c r="M106" s="11"/>
      <c r="N106" s="16"/>
    </row>
    <row r="107" spans="4:14">
      <c r="D107" s="15" t="s">
        <v>16</v>
      </c>
      <c r="E107" s="1" t="s">
        <v>0</v>
      </c>
      <c r="F107" s="192">
        <v>119.15846231941616</v>
      </c>
      <c r="G107" s="192"/>
      <c r="H107" s="192">
        <v>101.63934617788762</v>
      </c>
      <c r="I107" s="47">
        <f>SUM(M62:M63)</f>
        <v>54.55193152122694</v>
      </c>
      <c r="J107" s="26"/>
      <c r="K107" s="45"/>
      <c r="L107" s="12"/>
      <c r="M107" s="11"/>
      <c r="N107" s="12"/>
    </row>
    <row r="108" spans="4:14">
      <c r="D108" s="15" t="s">
        <v>15</v>
      </c>
      <c r="E108" s="1" t="s">
        <v>0</v>
      </c>
      <c r="F108" s="192">
        <v>185.37782134240553</v>
      </c>
      <c r="G108" s="192"/>
      <c r="H108" s="192">
        <v>180.03235155570465</v>
      </c>
      <c r="I108" s="47">
        <f>SUM(M64:M65)</f>
        <v>61.087608229409916</v>
      </c>
      <c r="J108" s="26"/>
      <c r="K108" s="45"/>
      <c r="L108" s="12"/>
      <c r="M108" s="11"/>
      <c r="N108" s="16"/>
    </row>
    <row r="109" spans="4:14">
      <c r="D109" s="15" t="s">
        <v>14</v>
      </c>
      <c r="E109" s="1" t="s">
        <v>0</v>
      </c>
      <c r="F109" s="192">
        <v>9.3614945117775168</v>
      </c>
      <c r="G109" s="192"/>
      <c r="H109" s="192">
        <v>15.497714349016995</v>
      </c>
      <c r="I109" s="47">
        <f>M66</f>
        <v>8.1801660542730712</v>
      </c>
      <c r="J109" s="26"/>
      <c r="K109" s="45"/>
      <c r="L109" s="12"/>
      <c r="M109" s="11"/>
      <c r="N109" s="16"/>
    </row>
    <row r="110" spans="4:14">
      <c r="D110" s="15" t="s">
        <v>13</v>
      </c>
      <c r="E110" s="1" t="s">
        <v>0</v>
      </c>
      <c r="F110" s="192">
        <v>149.89003299503938</v>
      </c>
      <c r="G110" s="192"/>
      <c r="H110" s="192">
        <v>127.46118818030359</v>
      </c>
      <c r="I110" s="47">
        <f>M67</f>
        <v>11.771763353045339</v>
      </c>
      <c r="J110" s="26"/>
      <c r="K110" s="45"/>
      <c r="L110" s="12"/>
      <c r="M110" s="11"/>
      <c r="N110" s="12"/>
    </row>
    <row r="111" spans="4:14">
      <c r="D111" s="15" t="s">
        <v>12</v>
      </c>
      <c r="E111" s="1" t="s">
        <v>0</v>
      </c>
      <c r="F111" s="192">
        <v>122.60659730893151</v>
      </c>
      <c r="G111" s="192"/>
      <c r="H111" s="192">
        <v>127.31099167392954</v>
      </c>
      <c r="I111" s="47">
        <f>M68</f>
        <v>21.433480457537783</v>
      </c>
      <c r="J111" s="26"/>
      <c r="K111" s="45"/>
      <c r="L111" s="12"/>
      <c r="M111" s="11"/>
      <c r="N111" s="16"/>
    </row>
    <row r="112" spans="4:14">
      <c r="D112" s="15" t="s">
        <v>11</v>
      </c>
      <c r="E112" s="1" t="s">
        <v>0</v>
      </c>
      <c r="F112" s="192">
        <v>21.73915864845398</v>
      </c>
      <c r="G112" s="192"/>
      <c r="H112" s="192">
        <v>39.404945786888803</v>
      </c>
      <c r="I112" s="47">
        <f>M69</f>
        <v>11.342737897744765</v>
      </c>
      <c r="J112" s="26"/>
      <c r="K112" s="45"/>
      <c r="L112" s="12"/>
      <c r="M112" s="11"/>
      <c r="N112" s="12"/>
    </row>
    <row r="113" spans="4:14">
      <c r="D113" s="15" t="s">
        <v>10</v>
      </c>
      <c r="E113" s="1" t="s">
        <v>0</v>
      </c>
      <c r="F113" s="192">
        <v>529.13786005280599</v>
      </c>
      <c r="G113" s="192"/>
      <c r="H113" s="192">
        <v>333.13648190523855</v>
      </c>
      <c r="I113" s="45">
        <f>M75</f>
        <v>107.16209755052905</v>
      </c>
      <c r="J113" s="26"/>
      <c r="K113" s="45"/>
      <c r="L113" s="12"/>
      <c r="M113" s="11"/>
      <c r="N113" s="12"/>
    </row>
    <row r="114" spans="4:14">
      <c r="D114" s="15" t="s">
        <v>9</v>
      </c>
      <c r="E114" s="1" t="s">
        <v>0</v>
      </c>
      <c r="F114" s="192">
        <v>101.36690948105219</v>
      </c>
      <c r="G114" s="192"/>
      <c r="H114" s="192">
        <v>79.264351492402653</v>
      </c>
      <c r="I114" s="45">
        <f>M71</f>
        <v>39.776213281983857</v>
      </c>
      <c r="J114" s="26"/>
      <c r="K114" s="45"/>
      <c r="L114" s="12"/>
      <c r="M114" s="11"/>
      <c r="N114" s="12"/>
    </row>
    <row r="115" spans="4:14">
      <c r="D115" s="15" t="s">
        <v>8</v>
      </c>
      <c r="E115" s="1" t="s">
        <v>0</v>
      </c>
      <c r="F115" s="192">
        <v>83.41997860958783</v>
      </c>
      <c r="G115" s="192"/>
      <c r="H115" s="192">
        <v>63.259250526198905</v>
      </c>
      <c r="I115" s="45">
        <f>M72</f>
        <v>11.041592577847998</v>
      </c>
      <c r="J115" s="26"/>
      <c r="K115" s="45"/>
      <c r="L115" s="7"/>
      <c r="M115" s="10"/>
      <c r="N115" s="12"/>
    </row>
    <row r="116" spans="4:14">
      <c r="D116" s="15" t="s">
        <v>7</v>
      </c>
      <c r="E116" s="1" t="s">
        <v>0</v>
      </c>
      <c r="F116" s="192">
        <v>174.62425746182197</v>
      </c>
      <c r="G116" s="192"/>
      <c r="H116" s="192">
        <v>107.1353548891402</v>
      </c>
      <c r="I116" s="45">
        <f>M73</f>
        <v>9.3499759286519151</v>
      </c>
      <c r="J116" s="26"/>
      <c r="K116" s="45"/>
      <c r="L116" s="4"/>
      <c r="M116" s="9"/>
      <c r="N116" s="12"/>
    </row>
    <row r="117" spans="4:14">
      <c r="D117" s="15" t="s">
        <v>6</v>
      </c>
      <c r="E117" s="1" t="s">
        <v>0</v>
      </c>
      <c r="F117" s="192">
        <v>7.5015879114132469</v>
      </c>
      <c r="G117" s="192"/>
      <c r="H117" s="192">
        <v>6.2133271238081065</v>
      </c>
      <c r="I117" s="45">
        <f>M81</f>
        <v>43.689037239352182</v>
      </c>
      <c r="J117" s="26"/>
      <c r="K117" s="45"/>
      <c r="L117" s="4"/>
      <c r="M117" s="9"/>
      <c r="N117" s="7"/>
    </row>
    <row r="118" spans="4:14">
      <c r="D118" s="15" t="s">
        <v>5</v>
      </c>
      <c r="E118" s="1" t="s">
        <v>0</v>
      </c>
      <c r="F118" s="192">
        <v>9.3832278454378368</v>
      </c>
      <c r="G118" s="192"/>
      <c r="H118" s="192">
        <v>3.8148685164321483</v>
      </c>
      <c r="I118" s="45">
        <f>M82</f>
        <v>20.569822695035459</v>
      </c>
      <c r="J118" s="26"/>
      <c r="K118" s="45"/>
      <c r="L118" s="4"/>
      <c r="M118" s="9"/>
      <c r="N118" s="4"/>
    </row>
    <row r="119" spans="4:14">
      <c r="D119" s="15" t="s">
        <v>4</v>
      </c>
      <c r="E119" s="1" t="s">
        <v>0</v>
      </c>
      <c r="F119" s="192">
        <v>59.371163618503317</v>
      </c>
      <c r="G119" s="192"/>
      <c r="H119" s="192">
        <v>36.688853897567682</v>
      </c>
      <c r="I119" s="45">
        <f>M83</f>
        <v>2.6608718197910339</v>
      </c>
      <c r="J119" s="26"/>
      <c r="K119" s="45"/>
      <c r="L119" s="4"/>
      <c r="M119" s="9"/>
      <c r="N119" s="4"/>
    </row>
    <row r="120" spans="4:14">
      <c r="D120" s="15" t="s">
        <v>3</v>
      </c>
      <c r="E120" s="1" t="s">
        <v>0</v>
      </c>
      <c r="F120" s="192">
        <v>59.371163618503317</v>
      </c>
      <c r="G120" s="192"/>
      <c r="H120" s="192">
        <v>36.688853897567682</v>
      </c>
      <c r="I120" s="45">
        <f>M79</f>
        <v>59.239143875746919</v>
      </c>
      <c r="J120" s="26"/>
      <c r="K120" s="45"/>
      <c r="L120" s="7"/>
      <c r="M120" s="10"/>
      <c r="N120" s="4"/>
    </row>
    <row r="121" spans="4:14">
      <c r="D121" s="15" t="s">
        <v>2</v>
      </c>
      <c r="E121" s="1" t="s">
        <v>0</v>
      </c>
      <c r="F121" s="192">
        <v>6.2381404757897201</v>
      </c>
      <c r="G121" s="192"/>
      <c r="H121" s="192">
        <v>5.9617370820485283</v>
      </c>
      <c r="I121" s="45">
        <v>0</v>
      </c>
      <c r="J121" s="26"/>
      <c r="K121" s="45"/>
      <c r="L121" s="4"/>
      <c r="M121" s="9"/>
      <c r="N121" s="4"/>
    </row>
    <row r="122" spans="4:14">
      <c r="D122" s="15" t="s">
        <v>1</v>
      </c>
      <c r="E122" s="1" t="s">
        <v>0</v>
      </c>
      <c r="F122" s="192">
        <v>195.3230097606708</v>
      </c>
      <c r="G122" s="192"/>
      <c r="H122" s="192">
        <v>91.171542357472845</v>
      </c>
      <c r="I122" s="45"/>
      <c r="J122" s="26"/>
      <c r="K122" s="45"/>
      <c r="L122" s="4"/>
      <c r="M122" s="9"/>
      <c r="N122" s="7"/>
    </row>
    <row r="123" spans="4:14">
      <c r="E123" s="14"/>
      <c r="F123" s="14"/>
      <c r="G123" s="14"/>
      <c r="L123" s="7"/>
      <c r="M123" s="8"/>
      <c r="N123" s="4"/>
    </row>
    <row r="124" spans="4:14">
      <c r="L124" s="7"/>
      <c r="M124" s="6"/>
      <c r="N124" s="4"/>
    </row>
    <row r="125" spans="4:14">
      <c r="D125" s="13"/>
      <c r="E125" s="10"/>
      <c r="L125" s="7"/>
      <c r="M125" s="6"/>
      <c r="N125" s="7"/>
    </row>
    <row r="126" spans="4:14">
      <c r="D126" s="13"/>
      <c r="E126" s="10"/>
      <c r="L126" s="5"/>
      <c r="M126" s="3"/>
      <c r="N126" s="7"/>
    </row>
    <row r="127" spans="4:14">
      <c r="D127" s="12"/>
      <c r="E127" s="11"/>
      <c r="L127" s="4"/>
      <c r="M127" s="3"/>
      <c r="N127" s="7"/>
    </row>
    <row r="128" spans="4:14">
      <c r="D128" s="4"/>
      <c r="E128" s="9"/>
    </row>
    <row r="129" spans="4:5">
      <c r="D129" s="7"/>
      <c r="E129" s="10"/>
    </row>
    <row r="130" spans="4:5">
      <c r="D130" s="4"/>
      <c r="E130" s="9"/>
    </row>
    <row r="131" spans="4:5">
      <c r="D131" s="4"/>
      <c r="E131" s="9"/>
    </row>
    <row r="132" spans="4:5">
      <c r="D132" s="7"/>
      <c r="E132" s="8"/>
    </row>
    <row r="133" spans="4:5">
      <c r="D133" s="7"/>
      <c r="E133" s="6"/>
    </row>
    <row r="134" spans="4:5">
      <c r="D134" s="7"/>
      <c r="E134" s="6"/>
    </row>
    <row r="135" spans="4:5">
      <c r="D135" s="5"/>
      <c r="E135" s="3"/>
    </row>
    <row r="136" spans="4:5">
      <c r="D136" s="4"/>
      <c r="E136" s="3"/>
    </row>
    <row r="137" spans="4:5">
      <c r="D137" s="4"/>
      <c r="E137" s="3"/>
    </row>
  </sheetData>
  <mergeCells count="1">
    <mergeCell ref="B1:N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zoomScale="80" zoomScaleNormal="80" workbookViewId="0">
      <selection activeCell="D29" sqref="D29"/>
    </sheetView>
  </sheetViews>
  <sheetFormatPr defaultColWidth="8.85546875" defaultRowHeight="15"/>
  <cols>
    <col min="1" max="1" width="2.140625" style="60" bestFit="1" customWidth="1"/>
    <col min="2" max="2" width="22.7109375" style="60" customWidth="1"/>
    <col min="3" max="3" width="19.7109375" style="125" customWidth="1"/>
    <col min="4" max="4" width="7.42578125" style="60" customWidth="1"/>
    <col min="5" max="7" width="10.42578125" style="60" customWidth="1"/>
    <col min="8" max="8" width="7.42578125" style="60" customWidth="1"/>
    <col min="9" max="9" width="10.42578125" style="60" customWidth="1"/>
    <col min="10" max="10" width="7.42578125" style="60" customWidth="1"/>
    <col min="11" max="11" width="10.42578125" style="60" customWidth="1"/>
    <col min="12" max="12" width="3" customWidth="1"/>
    <col min="13" max="13" width="7.42578125" style="60" customWidth="1"/>
    <col min="14" max="16" width="10.42578125" style="60" customWidth="1"/>
    <col min="17" max="17" width="7.42578125" style="60" customWidth="1"/>
    <col min="18" max="18" width="10.42578125" style="60" customWidth="1"/>
    <col min="19" max="19" width="7.42578125" style="60" customWidth="1"/>
    <col min="20" max="20" width="10.42578125" style="60" customWidth="1"/>
    <col min="22" max="16384" width="8.85546875" style="60"/>
  </cols>
  <sheetData>
    <row r="1" spans="2:21" ht="18.75">
      <c r="B1" s="206" t="s">
        <v>175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3" spans="2:21">
      <c r="D3" s="68" t="s">
        <v>23</v>
      </c>
      <c r="E3" s="143"/>
      <c r="F3" s="143"/>
      <c r="G3" s="143"/>
      <c r="H3" s="143"/>
      <c r="I3" s="143"/>
      <c r="J3" s="143"/>
      <c r="K3" s="143"/>
      <c r="M3" s="30" t="s">
        <v>83</v>
      </c>
      <c r="N3" s="30"/>
      <c r="O3" s="30"/>
      <c r="P3" s="30"/>
      <c r="Q3" s="30"/>
      <c r="R3" s="30"/>
      <c r="S3" s="30"/>
      <c r="T3" s="30"/>
      <c r="U3" s="60"/>
    </row>
    <row r="4" spans="2:21">
      <c r="D4" s="142" t="s">
        <v>173</v>
      </c>
      <c r="E4" s="142"/>
      <c r="F4" s="142"/>
      <c r="G4" s="142"/>
      <c r="H4" s="142" t="s">
        <v>172</v>
      </c>
      <c r="I4" s="142"/>
      <c r="J4" s="142" t="s">
        <v>65</v>
      </c>
      <c r="K4" s="142"/>
      <c r="L4" s="92"/>
      <c r="M4" s="141" t="s">
        <v>173</v>
      </c>
      <c r="N4" s="141"/>
      <c r="O4" s="141"/>
      <c r="P4" s="141"/>
      <c r="Q4" s="141" t="s">
        <v>172</v>
      </c>
      <c r="R4" s="141"/>
      <c r="S4" s="141" t="s">
        <v>65</v>
      </c>
      <c r="T4" s="141"/>
      <c r="U4" s="60"/>
    </row>
    <row r="5" spans="2:21" s="64" customFormat="1">
      <c r="B5" s="48" t="s">
        <v>28</v>
      </c>
      <c r="C5" s="48" t="s">
        <v>68</v>
      </c>
      <c r="D5" s="48" t="s">
        <v>27</v>
      </c>
      <c r="E5" s="48">
        <v>2015</v>
      </c>
      <c r="F5" s="48">
        <v>2030</v>
      </c>
      <c r="G5" s="48">
        <v>2050</v>
      </c>
      <c r="H5" s="48" t="s">
        <v>27</v>
      </c>
      <c r="I5" s="48">
        <v>2050</v>
      </c>
      <c r="J5" s="48" t="s">
        <v>27</v>
      </c>
      <c r="K5" s="48">
        <v>2050</v>
      </c>
      <c r="L5" s="140"/>
      <c r="M5" s="48" t="s">
        <v>27</v>
      </c>
      <c r="N5" s="48">
        <f>E5</f>
        <v>2015</v>
      </c>
      <c r="O5" s="48">
        <f>F5</f>
        <v>2030</v>
      </c>
      <c r="P5" s="48">
        <f>G5</f>
        <v>2050</v>
      </c>
      <c r="Q5" s="48" t="s">
        <v>27</v>
      </c>
      <c r="R5" s="48">
        <v>2050</v>
      </c>
      <c r="S5" s="48" t="s">
        <v>27</v>
      </c>
      <c r="T5" s="48">
        <v>2050</v>
      </c>
    </row>
    <row r="6" spans="2:21" s="64" customFormat="1" ht="30">
      <c r="B6" s="64" t="s">
        <v>51</v>
      </c>
      <c r="C6" s="139" t="s">
        <v>76</v>
      </c>
      <c r="D6" s="136" t="s">
        <v>71</v>
      </c>
      <c r="E6" s="135">
        <v>3208.9190701888892</v>
      </c>
      <c r="F6" s="135">
        <v>2921.5282117075917</v>
      </c>
      <c r="G6" s="135">
        <v>2344.8045131490694</v>
      </c>
      <c r="H6" s="64" t="s">
        <v>30</v>
      </c>
      <c r="I6" s="147">
        <v>0.10095081069495157</v>
      </c>
      <c r="J6" s="136" t="s">
        <v>71</v>
      </c>
      <c r="K6" s="135">
        <v>236.70991652357978</v>
      </c>
      <c r="L6" s="92"/>
      <c r="M6" s="136" t="s">
        <v>71</v>
      </c>
      <c r="N6" s="135">
        <v>3208.9190701888883</v>
      </c>
      <c r="O6" s="135">
        <v>2921.5282117075917</v>
      </c>
      <c r="P6" s="135">
        <v>2344.8045131490694</v>
      </c>
      <c r="Q6" s="138" t="s">
        <v>30</v>
      </c>
      <c r="R6" s="137">
        <v>2.2627108844345951E-2</v>
      </c>
      <c r="S6" s="136" t="s">
        <v>71</v>
      </c>
      <c r="T6" s="135">
        <v>53.056146937737608</v>
      </c>
    </row>
    <row r="7" spans="2:21" ht="30">
      <c r="B7" s="60" t="s">
        <v>9</v>
      </c>
      <c r="C7" s="125" t="s">
        <v>76</v>
      </c>
      <c r="D7" s="131" t="s">
        <v>71</v>
      </c>
      <c r="E7" s="130">
        <v>827.04616287829003</v>
      </c>
      <c r="F7" s="130">
        <v>768.90606418609593</v>
      </c>
      <c r="G7" s="130">
        <v>680.37453627532136</v>
      </c>
      <c r="H7" s="60" t="s">
        <v>30</v>
      </c>
      <c r="I7" s="146">
        <v>0.23</v>
      </c>
      <c r="J7" s="131" t="s">
        <v>71</v>
      </c>
      <c r="K7" s="130">
        <v>156.4861433433239</v>
      </c>
      <c r="M7" s="131" t="s">
        <v>71</v>
      </c>
      <c r="N7" s="130">
        <v>827.04616287829003</v>
      </c>
      <c r="O7" s="130">
        <v>768.90606418609593</v>
      </c>
      <c r="P7" s="130">
        <v>680.37453627532136</v>
      </c>
      <c r="Q7" s="133" t="s">
        <v>30</v>
      </c>
      <c r="R7" s="132">
        <v>6.9999999999999993E-2</v>
      </c>
      <c r="S7" s="131" t="s">
        <v>71</v>
      </c>
      <c r="T7" s="130">
        <v>47.626217539272488</v>
      </c>
      <c r="U7" s="60"/>
    </row>
    <row r="8" spans="2:21" ht="30">
      <c r="B8" s="60" t="s">
        <v>8</v>
      </c>
      <c r="C8" s="125" t="s">
        <v>76</v>
      </c>
      <c r="D8" s="131" t="s">
        <v>71</v>
      </c>
      <c r="E8" s="130">
        <v>680.61829614470867</v>
      </c>
      <c r="F8" s="130">
        <v>643.81676706733867</v>
      </c>
      <c r="G8" s="130">
        <v>542.99293984651183</v>
      </c>
      <c r="H8" s="60" t="s">
        <v>30</v>
      </c>
      <c r="I8" s="146">
        <v>0.08</v>
      </c>
      <c r="J8" s="131" t="s">
        <v>71</v>
      </c>
      <c r="K8" s="130">
        <v>43.439435187720946</v>
      </c>
      <c r="M8" s="131" t="s">
        <v>71</v>
      </c>
      <c r="N8" s="130">
        <v>680.61829614470867</v>
      </c>
      <c r="O8" s="130">
        <v>643.81676706733867</v>
      </c>
      <c r="P8" s="130">
        <v>542.99293984651183</v>
      </c>
      <c r="Q8" s="133" t="s">
        <v>30</v>
      </c>
      <c r="R8" s="132">
        <v>0.01</v>
      </c>
      <c r="S8" s="131" t="s">
        <v>71</v>
      </c>
      <c r="T8" s="130">
        <v>5.4299293984651182</v>
      </c>
      <c r="U8" s="60"/>
    </row>
    <row r="9" spans="2:21" ht="30">
      <c r="B9" s="60" t="s">
        <v>7</v>
      </c>
      <c r="C9" s="125" t="s">
        <v>76</v>
      </c>
      <c r="D9" s="131" t="s">
        <v>71</v>
      </c>
      <c r="E9" s="130">
        <v>1424.7482025311851</v>
      </c>
      <c r="F9" s="130">
        <v>1251.6706403205999</v>
      </c>
      <c r="G9" s="130">
        <v>919.60844981337334</v>
      </c>
      <c r="H9" s="60" t="s">
        <v>30</v>
      </c>
      <c r="I9" s="146">
        <v>0.04</v>
      </c>
      <c r="J9" s="131" t="s">
        <v>71</v>
      </c>
      <c r="K9" s="130">
        <v>36.78433799253493</v>
      </c>
      <c r="M9" s="131" t="s">
        <v>71</v>
      </c>
      <c r="N9" s="130">
        <v>1424.7482025311851</v>
      </c>
      <c r="O9" s="130">
        <v>1251.6706403205999</v>
      </c>
      <c r="P9" s="130">
        <v>919.60844981337334</v>
      </c>
      <c r="Q9" s="133" t="s">
        <v>30</v>
      </c>
      <c r="R9" s="132">
        <v>0</v>
      </c>
      <c r="S9" s="131" t="s">
        <v>71</v>
      </c>
      <c r="T9" s="130">
        <v>0</v>
      </c>
    </row>
    <row r="10" spans="2:21" ht="30">
      <c r="B10" s="60" t="s">
        <v>49</v>
      </c>
      <c r="C10" s="125" t="s">
        <v>76</v>
      </c>
      <c r="D10" s="131" t="s">
        <v>71</v>
      </c>
      <c r="E10" s="130">
        <v>276.50640863470471</v>
      </c>
      <c r="F10" s="130">
        <v>257.13474013355682</v>
      </c>
      <c r="G10" s="130">
        <v>201.82858721386279</v>
      </c>
      <c r="H10" s="60" t="s">
        <v>30</v>
      </c>
      <c r="I10" s="146">
        <v>0</v>
      </c>
      <c r="J10" s="131" t="s">
        <v>71</v>
      </c>
      <c r="K10" s="130">
        <v>0</v>
      </c>
      <c r="M10" s="131" t="s">
        <v>71</v>
      </c>
      <c r="N10" s="130">
        <v>276.50640863470471</v>
      </c>
      <c r="O10" s="130">
        <v>257.13474013355682</v>
      </c>
      <c r="P10" s="130">
        <v>201.82858721386279</v>
      </c>
      <c r="Q10" s="133" t="s">
        <v>30</v>
      </c>
      <c r="R10" s="132">
        <v>0</v>
      </c>
      <c r="S10" s="131" t="s">
        <v>71</v>
      </c>
      <c r="T10" s="130">
        <v>0</v>
      </c>
      <c r="U10" s="60"/>
    </row>
    <row r="11" spans="2:21">
      <c r="B11" s="62"/>
      <c r="C11" s="62"/>
      <c r="D11" s="62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60"/>
    </row>
    <row r="12" spans="2:21"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60"/>
    </row>
    <row r="13" spans="2:21"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60"/>
    </row>
    <row r="14" spans="2:21">
      <c r="B14"/>
      <c r="C14"/>
      <c r="D14" s="126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60"/>
    </row>
    <row r="15" spans="2:21"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60"/>
    </row>
    <row r="16" spans="2:21">
      <c r="E16" s="144"/>
      <c r="U16" s="60"/>
    </row>
    <row r="17" spans="21:21">
      <c r="U17" s="60"/>
    </row>
    <row r="18" spans="21:21">
      <c r="U18" s="60"/>
    </row>
    <row r="19" spans="21:21">
      <c r="U19" s="60"/>
    </row>
    <row r="20" spans="21:21">
      <c r="U20" s="60"/>
    </row>
  </sheetData>
  <mergeCells count="1">
    <mergeCell ref="B1:T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zoomScale="70" zoomScaleNormal="70" workbookViewId="0">
      <selection activeCell="I15" sqref="I15"/>
    </sheetView>
  </sheetViews>
  <sheetFormatPr defaultRowHeight="15"/>
  <cols>
    <col min="1" max="1" width="2.5703125" customWidth="1"/>
    <col min="2" max="2" width="22.85546875" customWidth="1"/>
    <col min="3" max="3" width="8.28515625" customWidth="1"/>
    <col min="4" max="5" width="16.42578125" style="148" customWidth="1"/>
    <col min="6" max="6" width="3.28515625" customWidth="1"/>
    <col min="7" max="8" width="16.42578125" style="148" customWidth="1"/>
    <col min="9" max="9" width="3.28515625" customWidth="1"/>
    <col min="10" max="10" width="20.85546875" style="148" customWidth="1"/>
    <col min="11" max="12" width="16.42578125" style="148" customWidth="1"/>
    <col min="13" max="13" width="16.42578125" customWidth="1"/>
  </cols>
  <sheetData>
    <row r="1" spans="2:13" ht="18.75">
      <c r="B1" s="206" t="s">
        <v>189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3" spans="2:13" ht="29.1" customHeight="1">
      <c r="B3" s="154"/>
      <c r="C3" s="154"/>
      <c r="D3" s="207" t="s">
        <v>188</v>
      </c>
      <c r="E3" s="207"/>
      <c r="F3" s="194"/>
      <c r="G3" s="207" t="s">
        <v>187</v>
      </c>
      <c r="H3" s="207"/>
      <c r="I3" s="194"/>
      <c r="J3" s="207" t="s">
        <v>186</v>
      </c>
      <c r="K3" s="207"/>
      <c r="L3" s="207"/>
      <c r="M3" s="207"/>
    </row>
    <row r="4" spans="2:13" ht="45">
      <c r="B4" s="79" t="s">
        <v>28</v>
      </c>
      <c r="C4" s="79" t="s">
        <v>27</v>
      </c>
      <c r="D4" s="164" t="s">
        <v>185</v>
      </c>
      <c r="E4" s="164" t="s">
        <v>184</v>
      </c>
      <c r="G4" s="164" t="s">
        <v>183</v>
      </c>
      <c r="H4" s="164" t="s">
        <v>182</v>
      </c>
      <c r="J4" s="164"/>
      <c r="K4" s="164" t="s">
        <v>181</v>
      </c>
      <c r="L4" s="164" t="s">
        <v>180</v>
      </c>
      <c r="M4" s="164" t="s">
        <v>179</v>
      </c>
    </row>
    <row r="5" spans="2:13">
      <c r="B5" s="156" t="s">
        <v>19</v>
      </c>
      <c r="C5" s="162" t="s">
        <v>130</v>
      </c>
      <c r="D5" s="161">
        <v>0.10847774181919255</v>
      </c>
      <c r="E5" s="161">
        <v>0.1810927723237388</v>
      </c>
      <c r="G5" s="161">
        <v>1.5119283220849873</v>
      </c>
      <c r="H5" s="161">
        <v>2.9401928127216888</v>
      </c>
      <c r="J5" s="163" t="s">
        <v>178</v>
      </c>
      <c r="K5" s="161">
        <v>1.2286530516230489</v>
      </c>
      <c r="L5" s="161">
        <v>0.56416989360311953</v>
      </c>
      <c r="M5" s="161">
        <v>1.8790280197574196</v>
      </c>
    </row>
    <row r="6" spans="2:13">
      <c r="B6" s="156" t="s">
        <v>57</v>
      </c>
      <c r="C6" s="162" t="s">
        <v>130</v>
      </c>
      <c r="D6" s="161">
        <v>5.8340323446749149</v>
      </c>
      <c r="E6" s="161">
        <v>9.7393352166611891</v>
      </c>
      <c r="G6" s="161">
        <v>16.70852973119705</v>
      </c>
      <c r="H6" s="161">
        <v>7.680383361305795</v>
      </c>
      <c r="J6" s="156" t="s">
        <v>177</v>
      </c>
      <c r="K6" s="161">
        <v>10.618187381557894</v>
      </c>
      <c r="L6" s="161">
        <v>8.4488227071275723</v>
      </c>
      <c r="M6" s="78">
        <v>26.49714869933926</v>
      </c>
    </row>
    <row r="7" spans="2:13" ht="30">
      <c r="B7" s="156" t="s">
        <v>176</v>
      </c>
      <c r="C7" s="162" t="s">
        <v>130</v>
      </c>
      <c r="D7" s="161">
        <v>5.2434121896263612E-2</v>
      </c>
      <c r="E7" s="161">
        <v>8.7533537657724758E-2</v>
      </c>
      <c r="G7" s="161">
        <v>5.4740090761811293E-2</v>
      </c>
      <c r="H7" s="161">
        <v>2.8627019402560361</v>
      </c>
      <c r="J7" s="155"/>
      <c r="K7" s="155"/>
      <c r="L7" s="155"/>
      <c r="M7" s="154"/>
    </row>
    <row r="8" spans="2:13">
      <c r="B8" s="156" t="s">
        <v>51</v>
      </c>
      <c r="C8" s="162" t="s">
        <v>130</v>
      </c>
      <c r="D8" s="161">
        <v>4.0340379191018412E-4</v>
      </c>
      <c r="E8" s="161">
        <v>6.7344240226430326E-4</v>
      </c>
      <c r="G8" s="161">
        <v>2.9474010482941955E-4</v>
      </c>
      <c r="H8" s="161">
        <v>0.58088890950193717</v>
      </c>
      <c r="J8" s="156"/>
      <c r="K8" s="155"/>
      <c r="L8" s="155"/>
      <c r="M8" s="154"/>
    </row>
    <row r="9" spans="2:13">
      <c r="B9" s="160" t="s">
        <v>73</v>
      </c>
      <c r="C9" s="159" t="s">
        <v>130</v>
      </c>
      <c r="D9" s="158"/>
      <c r="E9" s="158"/>
      <c r="G9" s="158"/>
      <c r="H9" s="157">
        <v>22.402114616465504</v>
      </c>
      <c r="J9" s="156"/>
      <c r="K9" s="155"/>
      <c r="L9" s="155"/>
      <c r="M9" s="154"/>
    </row>
    <row r="10" spans="2:13">
      <c r="H10" s="153"/>
    </row>
    <row r="11" spans="2:13">
      <c r="D11" s="149"/>
      <c r="H11" s="149"/>
    </row>
    <row r="12" spans="2:13">
      <c r="D12" s="149"/>
    </row>
    <row r="13" spans="2:13">
      <c r="D13" s="152"/>
    </row>
    <row r="14" spans="2:13">
      <c r="E14" s="151"/>
      <c r="G14" s="151"/>
      <c r="H14" s="151"/>
    </row>
    <row r="15" spans="2:13">
      <c r="D15" s="150"/>
      <c r="E15" s="149"/>
      <c r="G15" s="149"/>
      <c r="H15" s="149"/>
    </row>
    <row r="16" spans="2:13">
      <c r="D16" s="150"/>
      <c r="E16" s="149"/>
      <c r="G16" s="149"/>
      <c r="H16" s="149"/>
    </row>
    <row r="17" spans="4:8">
      <c r="D17" s="150"/>
      <c r="E17" s="149"/>
      <c r="G17" s="149"/>
      <c r="H17" s="149"/>
    </row>
    <row r="18" spans="4:8">
      <c r="D18" s="150"/>
      <c r="E18" s="149"/>
      <c r="G18" s="149"/>
      <c r="H18" s="149"/>
    </row>
    <row r="19" spans="4:8">
      <c r="E19" s="149"/>
      <c r="G19" s="149"/>
      <c r="H19" s="149"/>
    </row>
    <row r="20" spans="4:8">
      <c r="D20" s="150"/>
      <c r="E20" s="149"/>
      <c r="G20" s="149"/>
      <c r="H20" s="149"/>
    </row>
    <row r="21" spans="4:8">
      <c r="D21" s="150"/>
      <c r="E21" s="149"/>
      <c r="G21" s="149"/>
      <c r="H21" s="149"/>
    </row>
    <row r="22" spans="4:8">
      <c r="D22" s="150"/>
      <c r="E22" s="149"/>
      <c r="G22" s="149"/>
      <c r="H22" s="149"/>
    </row>
    <row r="23" spans="4:8">
      <c r="D23" s="150"/>
      <c r="E23" s="149"/>
      <c r="G23" s="149"/>
      <c r="H23" s="149"/>
    </row>
  </sheetData>
  <mergeCells count="4">
    <mergeCell ref="J3:M3"/>
    <mergeCell ref="B1:M1"/>
    <mergeCell ref="D3:E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zoomScale="70" zoomScaleNormal="70" workbookViewId="0">
      <selection activeCell="I36" sqref="I36"/>
    </sheetView>
  </sheetViews>
  <sheetFormatPr defaultColWidth="8.7109375" defaultRowHeight="15"/>
  <cols>
    <col min="1" max="1" width="2.7109375" style="165" customWidth="1"/>
    <col min="2" max="2" width="62.85546875" style="165" customWidth="1"/>
    <col min="3" max="3" width="8.85546875" style="165" customWidth="1"/>
    <col min="4" max="4" width="17.42578125" style="166" customWidth="1"/>
    <col min="5" max="5" width="17.42578125" style="165" customWidth="1"/>
    <col min="6" max="7" width="17.42578125" style="166" customWidth="1"/>
    <col min="8" max="10" width="17.42578125" style="165" customWidth="1"/>
    <col min="11" max="11" width="17.42578125" style="166" customWidth="1"/>
    <col min="12" max="16384" width="8.7109375" style="165"/>
  </cols>
  <sheetData>
    <row r="1" spans="2:11" ht="18.75">
      <c r="B1" s="116" t="s">
        <v>232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2:11">
      <c r="B2" s="62"/>
      <c r="C2" s="183"/>
    </row>
    <row r="3" spans="2:11">
      <c r="B3" s="68" t="s">
        <v>23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2:11" s="62" customFormat="1" ht="60">
      <c r="B4" s="79" t="s">
        <v>207</v>
      </c>
      <c r="C4" s="79" t="s">
        <v>27</v>
      </c>
      <c r="D4" s="164" t="s">
        <v>206</v>
      </c>
      <c r="E4" s="164" t="s">
        <v>205</v>
      </c>
      <c r="F4" s="164" t="s">
        <v>204</v>
      </c>
      <c r="G4" s="164" t="s">
        <v>203</v>
      </c>
      <c r="H4" s="164" t="s">
        <v>202</v>
      </c>
      <c r="I4" s="79" t="s">
        <v>201</v>
      </c>
      <c r="J4" s="79" t="s">
        <v>200</v>
      </c>
      <c r="K4" s="79" t="s">
        <v>199</v>
      </c>
    </row>
    <row r="5" spans="2:11">
      <c r="B5" s="165" t="s">
        <v>198</v>
      </c>
      <c r="C5" s="165" t="s">
        <v>192</v>
      </c>
      <c r="D5" s="66">
        <v>16264.118532404438</v>
      </c>
      <c r="E5" s="175">
        <v>92374.19757902839</v>
      </c>
      <c r="F5" s="181">
        <v>0.75</v>
      </c>
      <c r="G5" s="181">
        <v>0.25</v>
      </c>
      <c r="H5" s="174">
        <f>D5*F5</f>
        <v>12198.08889930333</v>
      </c>
      <c r="I5" s="174">
        <f>D5-H5</f>
        <v>4066.0296331011086</v>
      </c>
      <c r="J5" s="174">
        <f>G5*(E5-D5)</f>
        <v>19027.519761655989</v>
      </c>
      <c r="K5" s="173">
        <f>H5+J5</f>
        <v>31225.608660959319</v>
      </c>
    </row>
    <row r="6" spans="2:11">
      <c r="B6" s="165" t="s">
        <v>197</v>
      </c>
      <c r="C6" s="165" t="s">
        <v>192</v>
      </c>
      <c r="D6" s="66">
        <v>33765.075592824964</v>
      </c>
      <c r="E6" s="175">
        <v>191773.18204292105</v>
      </c>
      <c r="F6" s="181">
        <v>0.9</v>
      </c>
      <c r="G6" s="181">
        <v>9.9999999999999978E-2</v>
      </c>
      <c r="H6" s="174">
        <f>D6*F6</f>
        <v>30388.568033542469</v>
      </c>
      <c r="I6" s="174">
        <f>D6-H6</f>
        <v>3376.5075592824942</v>
      </c>
      <c r="J6" s="174">
        <f>G6*(E6-D6)</f>
        <v>15800.810645009606</v>
      </c>
      <c r="K6" s="173">
        <f>H6+J6</f>
        <v>46189.378678552079</v>
      </c>
    </row>
    <row r="7" spans="2:11">
      <c r="B7" s="165" t="s">
        <v>196</v>
      </c>
      <c r="C7" s="165" t="s">
        <v>192</v>
      </c>
      <c r="D7" s="66">
        <v>16583.317617097866</v>
      </c>
      <c r="E7" s="175">
        <v>94187.130708959085</v>
      </c>
      <c r="F7" s="181">
        <v>0.61</v>
      </c>
      <c r="G7" s="182">
        <v>0.2</v>
      </c>
      <c r="H7" s="174">
        <f>D7*F7</f>
        <v>10115.823746429698</v>
      </c>
      <c r="I7" s="174">
        <f>D7-H7</f>
        <v>6467.4938706681678</v>
      </c>
      <c r="J7" s="174">
        <f>G7*(E7-D7)</f>
        <v>15520.762618372244</v>
      </c>
      <c r="K7" s="173">
        <f>H7+J7</f>
        <v>25636.586364801944</v>
      </c>
    </row>
    <row r="8" spans="2:11">
      <c r="B8" t="s">
        <v>195</v>
      </c>
      <c r="C8" s="165" t="s">
        <v>192</v>
      </c>
      <c r="D8" s="66">
        <v>16921.752670508031</v>
      </c>
      <c r="E8" s="175">
        <v>96109.317049958263</v>
      </c>
      <c r="F8" s="181">
        <v>0.61</v>
      </c>
      <c r="G8" s="182">
        <v>0.2</v>
      </c>
      <c r="H8" s="174">
        <f>D8*F8</f>
        <v>10322.269129009899</v>
      </c>
      <c r="I8" s="174">
        <f>D8-H8</f>
        <v>6599.4835414981317</v>
      </c>
      <c r="J8" s="174">
        <f>G8*(E8-D8)</f>
        <v>15837.512875890046</v>
      </c>
      <c r="K8" s="173">
        <f>H8+J8</f>
        <v>26159.782004899946</v>
      </c>
    </row>
    <row r="9" spans="2:11">
      <c r="B9" s="165" t="s">
        <v>194</v>
      </c>
      <c r="C9" s="165" t="s">
        <v>192</v>
      </c>
      <c r="D9" s="66">
        <v>4054.9462610666401</v>
      </c>
      <c r="E9" s="175">
        <v>23030.59992743035</v>
      </c>
      <c r="F9" s="181">
        <v>0.9</v>
      </c>
      <c r="G9" s="181">
        <v>0.1</v>
      </c>
      <c r="H9" s="174">
        <f>D9*F9</f>
        <v>3649.4516349599762</v>
      </c>
      <c r="I9" s="174">
        <f>D9-H9</f>
        <v>405.49462610666387</v>
      </c>
      <c r="J9" s="174">
        <f>G9*(E9-D9)</f>
        <v>1897.565366636371</v>
      </c>
      <c r="K9" s="173">
        <f>H9+J9</f>
        <v>5547.0170015963467</v>
      </c>
    </row>
    <row r="10" spans="2:11">
      <c r="D10" s="66"/>
      <c r="E10" s="175"/>
      <c r="F10" s="181"/>
      <c r="G10" s="181"/>
      <c r="H10" s="174"/>
      <c r="I10" s="174"/>
      <c r="J10" s="174"/>
      <c r="K10" s="173"/>
    </row>
    <row r="11" spans="2:11">
      <c r="H11" s="171" t="s">
        <v>29</v>
      </c>
      <c r="I11" s="171"/>
      <c r="J11" s="171"/>
    </row>
    <row r="12" spans="2:11" s="62" customFormat="1">
      <c r="B12" s="62" t="s">
        <v>193</v>
      </c>
      <c r="C12" s="62" t="s">
        <v>192</v>
      </c>
      <c r="D12" s="168">
        <f>SUM(D5:D9)</f>
        <v>87589.210673901936</v>
      </c>
      <c r="E12" s="168">
        <f>SUM(E5:E9)</f>
        <v>497474.42730829713</v>
      </c>
      <c r="F12" s="168"/>
      <c r="G12" s="180"/>
      <c r="H12" s="168">
        <f>SUM(H5:H9)</f>
        <v>66674.201443245373</v>
      </c>
      <c r="I12" s="168">
        <f>SUM(I5:I9)</f>
        <v>20915.009230656568</v>
      </c>
      <c r="J12" s="168">
        <f>SUM(J5:J9)</f>
        <v>68084.171267564248</v>
      </c>
      <c r="K12" s="168">
        <f>H12+J12</f>
        <v>134758.37271080964</v>
      </c>
    </row>
    <row r="13" spans="2:11" s="62" customFormat="1">
      <c r="B13" s="62" t="s">
        <v>191</v>
      </c>
      <c r="C13" s="62" t="s">
        <v>190</v>
      </c>
      <c r="D13" s="169">
        <v>593869.93656878313</v>
      </c>
      <c r="E13" s="169"/>
      <c r="H13" s="168">
        <f>H12*$D$13/$D$12</f>
        <v>452062.57114579016</v>
      </c>
      <c r="I13" s="168">
        <f>I12*$D$13/$D$12</f>
        <v>141807.36542299297</v>
      </c>
      <c r="J13" s="168">
        <f>J12*$D$13/$D$12</f>
        <v>461622.40943739883</v>
      </c>
      <c r="K13" s="144">
        <f>K12*$D$13/$D$12</f>
        <v>913684.98058318906</v>
      </c>
    </row>
    <row r="14" spans="2:11">
      <c r="B14" s="62"/>
      <c r="C14" s="62"/>
      <c r="D14" s="62"/>
      <c r="E14" s="62"/>
      <c r="H14" s="179"/>
      <c r="I14" s="62"/>
      <c r="J14" s="62"/>
      <c r="K14" s="62"/>
    </row>
    <row r="15" spans="2:11">
      <c r="B15" s="68" t="s">
        <v>83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2:11" ht="44.1" customHeight="1">
      <c r="B16" s="177" t="s">
        <v>207</v>
      </c>
      <c r="C16" s="79" t="s">
        <v>27</v>
      </c>
      <c r="D16" s="178" t="s">
        <v>206</v>
      </c>
      <c r="E16" s="178" t="s">
        <v>205</v>
      </c>
      <c r="F16" s="164" t="s">
        <v>204</v>
      </c>
      <c r="G16" s="164" t="s">
        <v>203</v>
      </c>
      <c r="H16" s="178" t="s">
        <v>202</v>
      </c>
      <c r="I16" s="177" t="s">
        <v>201</v>
      </c>
      <c r="J16" s="177" t="s">
        <v>200</v>
      </c>
      <c r="K16" s="177" t="s">
        <v>199</v>
      </c>
    </row>
    <row r="17" spans="2:11">
      <c r="B17" s="165" t="s">
        <v>198</v>
      </c>
      <c r="C17" s="165" t="s">
        <v>192</v>
      </c>
      <c r="D17" s="66">
        <v>3828.1225803723996</v>
      </c>
      <c r="E17" s="175">
        <v>28104.341108202501</v>
      </c>
      <c r="F17" s="172">
        <v>0.45</v>
      </c>
      <c r="G17" s="172">
        <v>8.3333333333333329E-2</v>
      </c>
      <c r="H17" s="174">
        <f>D17*F17</f>
        <v>1722.6551611675798</v>
      </c>
      <c r="I17" s="174">
        <f>D17-H17</f>
        <v>2105.4674192048196</v>
      </c>
      <c r="J17" s="174">
        <f>G17*(E17-D17)</f>
        <v>2023.0182106525083</v>
      </c>
      <c r="K17" s="173">
        <f>H17+J17</f>
        <v>3745.6733718200881</v>
      </c>
    </row>
    <row r="18" spans="2:11">
      <c r="B18" s="165" t="s">
        <v>197</v>
      </c>
      <c r="C18" s="165" t="s">
        <v>192</v>
      </c>
      <c r="D18" s="66">
        <v>21940.335529205997</v>
      </c>
      <c r="E18" s="175">
        <v>161076.00025734684</v>
      </c>
      <c r="F18" s="172">
        <v>0.9</v>
      </c>
      <c r="G18" s="172">
        <v>3.3333333333333333E-2</v>
      </c>
      <c r="H18" s="174">
        <f>D18*F18</f>
        <v>19746.301976285398</v>
      </c>
      <c r="I18" s="174">
        <f>D18-H18</f>
        <v>2194.0335529205986</v>
      </c>
      <c r="J18" s="174">
        <f>G18*(E18-D18)</f>
        <v>4637.8554909380282</v>
      </c>
      <c r="K18" s="173">
        <f>H18+J18</f>
        <v>24384.157467223427</v>
      </c>
    </row>
    <row r="19" spans="2:11">
      <c r="B19" s="165" t="s">
        <v>196</v>
      </c>
      <c r="C19" s="165" t="s">
        <v>192</v>
      </c>
      <c r="D19" s="66">
        <v>2212.6077059374593</v>
      </c>
      <c r="E19" s="175">
        <v>16243.963039515449</v>
      </c>
      <c r="F19" s="172">
        <v>0.31</v>
      </c>
      <c r="G19" s="176">
        <v>6.6666666666666666E-2</v>
      </c>
      <c r="H19" s="174">
        <f>D19*F19</f>
        <v>685.90838884061236</v>
      </c>
      <c r="I19" s="174">
        <f>D19-H19</f>
        <v>1526.6993170968469</v>
      </c>
      <c r="J19" s="174">
        <f>G19*(E19-D19)</f>
        <v>935.42368890519936</v>
      </c>
      <c r="K19" s="173">
        <f>H19+J19</f>
        <v>1621.3320777458116</v>
      </c>
    </row>
    <row r="20" spans="2:11">
      <c r="B20" t="s">
        <v>195</v>
      </c>
      <c r="C20" s="165" t="s">
        <v>192</v>
      </c>
      <c r="D20" s="66">
        <v>2257.7629652423061</v>
      </c>
      <c r="E20" s="175">
        <v>16575.472489301483</v>
      </c>
      <c r="F20" s="172">
        <v>0.31</v>
      </c>
      <c r="G20" s="176">
        <v>6.6666666666666666E-2</v>
      </c>
      <c r="H20" s="174">
        <f>D20*F20</f>
        <v>699.90651922511483</v>
      </c>
      <c r="I20" s="174">
        <f>D20-H20</f>
        <v>1557.8564460171913</v>
      </c>
      <c r="J20" s="174">
        <f>G20*(E20-D20)</f>
        <v>954.51396827061183</v>
      </c>
      <c r="K20" s="173">
        <f>H20+J20</f>
        <v>1654.4204874957268</v>
      </c>
    </row>
    <row r="21" spans="2:11">
      <c r="B21" s="165" t="s">
        <v>194</v>
      </c>
      <c r="C21" s="165" t="s">
        <v>192</v>
      </c>
      <c r="D21" s="66">
        <v>1935.8478795558642</v>
      </c>
      <c r="E21" s="175">
        <v>14212.11781973187</v>
      </c>
      <c r="F21" s="172">
        <v>0.9</v>
      </c>
      <c r="G21" s="172">
        <v>3.3333333333333333E-2</v>
      </c>
      <c r="H21" s="174">
        <f>D21*F21</f>
        <v>1742.2630916002779</v>
      </c>
      <c r="I21" s="174">
        <f>D21-H21</f>
        <v>193.58478795558631</v>
      </c>
      <c r="J21" s="174">
        <f>G21*(E21-D21)</f>
        <v>409.20899800586687</v>
      </c>
      <c r="K21" s="173">
        <f>H21+J21</f>
        <v>2151.4720896061449</v>
      </c>
    </row>
    <row r="22" spans="2:11">
      <c r="F22" s="172"/>
      <c r="G22" s="172"/>
    </row>
    <row r="23" spans="2:11">
      <c r="F23" s="172"/>
      <c r="G23" s="172"/>
      <c r="H23" s="171" t="s">
        <v>29</v>
      </c>
      <c r="I23" s="171"/>
      <c r="J23" s="171"/>
      <c r="K23" s="170"/>
    </row>
    <row r="24" spans="2:11">
      <c r="B24" s="62" t="s">
        <v>193</v>
      </c>
      <c r="C24" s="62" t="s">
        <v>192</v>
      </c>
      <c r="D24" s="168">
        <f>SUM(D17:D21)</f>
        <v>32174.676660314028</v>
      </c>
      <c r="E24" s="168">
        <f>SUM(E17:E21)</f>
        <v>236211.89471409816</v>
      </c>
      <c r="F24" s="168"/>
      <c r="G24" s="168"/>
      <c r="H24" s="168">
        <f>SUM(H17:H21)</f>
        <v>24597.035137118983</v>
      </c>
      <c r="I24" s="168">
        <f>SUM(I17:I21)</f>
        <v>7577.6415231950432</v>
      </c>
      <c r="J24" s="168">
        <f>SUM(J17:J21)</f>
        <v>8960.0203567722128</v>
      </c>
      <c r="K24" s="168">
        <f>H24+J24</f>
        <v>33557.055493891196</v>
      </c>
    </row>
    <row r="25" spans="2:11">
      <c r="B25" s="62" t="s">
        <v>191</v>
      </c>
      <c r="C25" s="62" t="s">
        <v>190</v>
      </c>
      <c r="D25" s="169">
        <v>266344.71455048624</v>
      </c>
      <c r="E25" s="169"/>
      <c r="F25" s="62"/>
      <c r="G25" s="62"/>
      <c r="H25" s="168">
        <f>H24*$D$25/$D$24</f>
        <v>203616.3524361054</v>
      </c>
      <c r="I25" s="168">
        <f>I24*$D$25/$D$24</f>
        <v>62728.362114380834</v>
      </c>
      <c r="J25" s="168">
        <f>J24*$D$25/$D$24</f>
        <v>74171.811871993777</v>
      </c>
      <c r="K25" s="168">
        <f>K24*$D$25/$D$24</f>
        <v>277788.16430809913</v>
      </c>
    </row>
    <row r="26" spans="2:11">
      <c r="J26" s="167"/>
    </row>
    <row r="27" spans="2:11">
      <c r="H2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5"/>
  <sheetViews>
    <sheetView topLeftCell="A13" zoomScale="80" zoomScaleNormal="80" workbookViewId="0">
      <selection activeCell="G17" sqref="G17"/>
    </sheetView>
  </sheetViews>
  <sheetFormatPr defaultColWidth="8.7109375" defaultRowHeight="15"/>
  <cols>
    <col min="1" max="1" width="1.42578125" style="49" customWidth="1"/>
    <col min="2" max="2" width="3.42578125" style="49" customWidth="1"/>
    <col min="3" max="3" width="35.42578125" style="49" customWidth="1"/>
    <col min="4" max="4" width="6.42578125" style="49" customWidth="1"/>
    <col min="5" max="12" width="10.140625" style="49" customWidth="1"/>
    <col min="13" max="13" width="8.7109375" style="49"/>
    <col min="14" max="14" width="3.42578125" style="49" customWidth="1"/>
    <col min="15" max="15" width="35.42578125" style="49" customWidth="1"/>
    <col min="16" max="16" width="6.42578125" style="49" customWidth="1"/>
    <col min="17" max="24" width="10.140625" style="49" customWidth="1"/>
    <col min="25" max="16384" width="8.7109375" style="49"/>
  </cols>
  <sheetData>
    <row r="1" spans="2:24" ht="18.75">
      <c r="B1" s="206" t="s">
        <v>84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</row>
    <row r="3" spans="2:24">
      <c r="B3" s="68" t="s">
        <v>23</v>
      </c>
      <c r="C3" s="68"/>
      <c r="D3" s="68"/>
      <c r="E3" s="68"/>
      <c r="F3" s="68"/>
      <c r="G3" s="68"/>
      <c r="H3" s="68"/>
      <c r="I3" s="68"/>
      <c r="J3" s="68"/>
      <c r="K3" s="68"/>
      <c r="L3" s="68"/>
      <c r="N3" s="68" t="s">
        <v>83</v>
      </c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2:24">
      <c r="B4" s="67"/>
      <c r="C4" s="48" t="s">
        <v>28</v>
      </c>
      <c r="D4" s="48" t="s">
        <v>27</v>
      </c>
      <c r="E4" s="48">
        <v>2015</v>
      </c>
      <c r="F4" s="48">
        <v>2020</v>
      </c>
      <c r="G4" s="48">
        <v>2025</v>
      </c>
      <c r="H4" s="48">
        <v>2030</v>
      </c>
      <c r="I4" s="48">
        <v>2035</v>
      </c>
      <c r="J4" s="48">
        <v>2040</v>
      </c>
      <c r="K4" s="48">
        <v>2045</v>
      </c>
      <c r="L4" s="48">
        <v>2050</v>
      </c>
      <c r="N4" s="67"/>
      <c r="O4" s="48" t="s">
        <v>28</v>
      </c>
      <c r="P4" s="48" t="s">
        <v>27</v>
      </c>
      <c r="Q4" s="48">
        <v>2015</v>
      </c>
      <c r="R4" s="48">
        <v>2020</v>
      </c>
      <c r="S4" s="48">
        <v>2025</v>
      </c>
      <c r="T4" s="48">
        <v>2030</v>
      </c>
      <c r="U4" s="48">
        <v>2035</v>
      </c>
      <c r="V4" s="48">
        <v>2040</v>
      </c>
      <c r="W4" s="48">
        <v>2045</v>
      </c>
      <c r="X4" s="48">
        <v>2050</v>
      </c>
    </row>
    <row r="5" spans="2:24">
      <c r="B5" s="60">
        <v>1</v>
      </c>
      <c r="C5" s="60" t="s">
        <v>19</v>
      </c>
      <c r="D5" s="60" t="s">
        <v>64</v>
      </c>
      <c r="E5" s="51">
        <v>0</v>
      </c>
      <c r="F5" s="51">
        <v>12.437993589584071</v>
      </c>
      <c r="G5" s="51">
        <v>62.262784335688167</v>
      </c>
      <c r="H5" s="51">
        <v>231.17584716788284</v>
      </c>
      <c r="I5" s="51">
        <v>228.64345551401257</v>
      </c>
      <c r="J5" s="51">
        <v>255.28838054907538</v>
      </c>
      <c r="K5" s="51">
        <v>282.98347897342302</v>
      </c>
      <c r="L5" s="51">
        <v>368.24945454802156</v>
      </c>
      <c r="N5" s="60">
        <v>1</v>
      </c>
      <c r="O5" s="60" t="s">
        <v>19</v>
      </c>
      <c r="P5" s="60" t="s">
        <v>64</v>
      </c>
      <c r="Q5" s="51">
        <v>0</v>
      </c>
      <c r="R5" s="51">
        <v>0</v>
      </c>
      <c r="S5" s="51">
        <v>0</v>
      </c>
      <c r="T5" s="51">
        <v>57.844764971691149</v>
      </c>
      <c r="U5" s="51">
        <v>71.829860614954967</v>
      </c>
      <c r="V5" s="51">
        <v>89.227058835271237</v>
      </c>
      <c r="W5" s="51">
        <v>112.75762720106253</v>
      </c>
      <c r="X5" s="51">
        <v>132.87110451537242</v>
      </c>
    </row>
    <row r="6" spans="2:24">
      <c r="B6" s="60">
        <v>2</v>
      </c>
      <c r="C6" s="60" t="s">
        <v>82</v>
      </c>
      <c r="D6" s="60" t="s">
        <v>64</v>
      </c>
      <c r="E6" s="51">
        <v>0</v>
      </c>
      <c r="F6" s="51">
        <v>2.7320423157255189</v>
      </c>
      <c r="G6" s="51">
        <v>3.518927315241398</v>
      </c>
      <c r="H6" s="51">
        <v>4.5925289519807171</v>
      </c>
      <c r="I6" s="51">
        <v>12.454171651099461</v>
      </c>
      <c r="J6" s="51">
        <v>18.588007319084412</v>
      </c>
      <c r="K6" s="51">
        <v>24.715901338836169</v>
      </c>
      <c r="L6" s="51">
        <v>34.215293105616318</v>
      </c>
      <c r="N6" s="60">
        <v>2</v>
      </c>
      <c r="O6" s="60" t="s">
        <v>82</v>
      </c>
      <c r="P6" s="60" t="s">
        <v>64</v>
      </c>
      <c r="Q6" s="51">
        <v>0</v>
      </c>
      <c r="R6" s="51">
        <v>2.6920364463883297</v>
      </c>
      <c r="S6" s="51">
        <v>3.4618130438935295</v>
      </c>
      <c r="T6" s="51">
        <v>4.2614783999391275</v>
      </c>
      <c r="U6" s="51">
        <v>11.313486431137113</v>
      </c>
      <c r="V6" s="51">
        <v>15.648959883373159</v>
      </c>
      <c r="W6" s="51">
        <v>19.226064780202286</v>
      </c>
      <c r="X6" s="51">
        <v>22.889692373162791</v>
      </c>
    </row>
    <row r="7" spans="2:24">
      <c r="B7" s="60">
        <v>4</v>
      </c>
      <c r="C7" s="60" t="s">
        <v>57</v>
      </c>
      <c r="D7" s="60" t="s">
        <v>64</v>
      </c>
      <c r="E7" s="66">
        <v>0</v>
      </c>
      <c r="F7" s="66">
        <v>2.1075802677820077</v>
      </c>
      <c r="G7" s="66">
        <v>28.802490428401175</v>
      </c>
      <c r="H7" s="66">
        <v>251.61602815661513</v>
      </c>
      <c r="I7" s="66">
        <v>369.98987294348126</v>
      </c>
      <c r="J7" s="66">
        <v>880.84010565539506</v>
      </c>
      <c r="K7" s="66">
        <v>1232.5515891008299</v>
      </c>
      <c r="L7" s="66">
        <v>2430.6708321653359</v>
      </c>
      <c r="N7" s="60">
        <v>4</v>
      </c>
      <c r="O7" s="60" t="s">
        <v>57</v>
      </c>
      <c r="P7" s="60" t="s">
        <v>64</v>
      </c>
      <c r="Q7" s="51">
        <v>0</v>
      </c>
      <c r="R7" s="51">
        <v>0.47789489013057901</v>
      </c>
      <c r="S7" s="51">
        <v>5.3904367047419006</v>
      </c>
      <c r="T7" s="51">
        <v>32.947879088783992</v>
      </c>
      <c r="U7" s="51">
        <v>43.138962662803799</v>
      </c>
      <c r="V7" s="51">
        <v>97.833179255894791</v>
      </c>
      <c r="W7" s="51">
        <v>125.92974080975705</v>
      </c>
      <c r="X7" s="51">
        <v>305.93014886732567</v>
      </c>
    </row>
    <row r="8" spans="2:24">
      <c r="B8" s="60">
        <v>5</v>
      </c>
      <c r="C8" s="60" t="s">
        <v>51</v>
      </c>
      <c r="D8" s="60" t="s">
        <v>64</v>
      </c>
      <c r="E8" s="51">
        <v>0</v>
      </c>
      <c r="F8" s="51">
        <v>0</v>
      </c>
      <c r="G8" s="51">
        <v>0</v>
      </c>
      <c r="H8" s="51">
        <v>27.680618310699451</v>
      </c>
      <c r="I8" s="51">
        <v>74.747243540269892</v>
      </c>
      <c r="J8" s="51">
        <v>167.89650787624282</v>
      </c>
      <c r="K8" s="51">
        <v>374.31460989805618</v>
      </c>
      <c r="L8" s="51">
        <v>852.15569948488724</v>
      </c>
      <c r="N8" s="60">
        <v>5</v>
      </c>
      <c r="O8" s="60" t="s">
        <v>51</v>
      </c>
      <c r="P8" s="60" t="s">
        <v>64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191.00212897585538</v>
      </c>
    </row>
    <row r="9" spans="2:24">
      <c r="B9" s="60">
        <v>6</v>
      </c>
      <c r="C9" s="53" t="s">
        <v>10</v>
      </c>
      <c r="D9" s="60" t="s">
        <v>64</v>
      </c>
      <c r="E9" s="51">
        <v>0</v>
      </c>
      <c r="F9" s="51">
        <v>65.944059707143225</v>
      </c>
      <c r="G9" s="51">
        <v>89.257372543438109</v>
      </c>
      <c r="H9" s="51">
        <v>118.46475964082403</v>
      </c>
      <c r="I9" s="51">
        <v>237.7979337974424</v>
      </c>
      <c r="J9" s="51">
        <v>485.43071224920266</v>
      </c>
      <c r="K9" s="51">
        <v>998.83455568293471</v>
      </c>
      <c r="L9" s="51">
        <v>2086.6292320601488</v>
      </c>
      <c r="N9" s="60">
        <v>6</v>
      </c>
      <c r="O9" s="53" t="s">
        <v>10</v>
      </c>
      <c r="P9" s="60" t="s">
        <v>64</v>
      </c>
      <c r="Q9" s="51">
        <v>0</v>
      </c>
      <c r="R9" s="51">
        <v>0</v>
      </c>
      <c r="S9" s="51">
        <v>60.703667907048477</v>
      </c>
      <c r="T9" s="51">
        <v>98.595057740603579</v>
      </c>
      <c r="U9" s="51">
        <v>160.12839186752521</v>
      </c>
      <c r="V9" s="51">
        <v>263.85672714871322</v>
      </c>
      <c r="W9" s="51">
        <v>438.07999389126314</v>
      </c>
      <c r="X9" s="51">
        <v>743.33075603451664</v>
      </c>
    </row>
    <row r="10" spans="2:24">
      <c r="B10" s="60" t="s">
        <v>81</v>
      </c>
      <c r="C10" s="60" t="s">
        <v>80</v>
      </c>
      <c r="D10" s="60" t="s">
        <v>64</v>
      </c>
      <c r="E10" s="51">
        <v>0</v>
      </c>
      <c r="F10" s="51">
        <v>0</v>
      </c>
      <c r="G10" s="51">
        <v>0</v>
      </c>
      <c r="H10" s="51">
        <v>224.03865424724313</v>
      </c>
      <c r="I10" s="51">
        <v>301.56624756257395</v>
      </c>
      <c r="J10" s="51">
        <v>445.03446672990583</v>
      </c>
      <c r="K10" s="51">
        <v>625.30215408052732</v>
      </c>
      <c r="L10" s="51">
        <v>925.84095063368977</v>
      </c>
      <c r="N10" s="60" t="s">
        <v>81</v>
      </c>
      <c r="O10" s="60" t="s">
        <v>80</v>
      </c>
      <c r="P10" s="60" t="s">
        <v>64</v>
      </c>
      <c r="Q10" s="51">
        <v>0</v>
      </c>
      <c r="R10" s="51">
        <v>0</v>
      </c>
      <c r="S10" s="51">
        <v>0</v>
      </c>
      <c r="T10" s="51">
        <v>1.4871016390066178</v>
      </c>
      <c r="U10" s="51">
        <v>1.7006910639029647</v>
      </c>
      <c r="V10" s="51">
        <v>2.3323376919097525</v>
      </c>
      <c r="W10" s="51">
        <v>3.7549955710360834</v>
      </c>
      <c r="X10" s="51">
        <v>5.1316886873661574</v>
      </c>
    </row>
    <row r="11" spans="2:24">
      <c r="B11" s="60" t="s">
        <v>44</v>
      </c>
      <c r="C11" s="60" t="s">
        <v>43</v>
      </c>
      <c r="D11" s="60" t="s">
        <v>64</v>
      </c>
      <c r="E11" s="51">
        <v>1170.2127659574467</v>
      </c>
      <c r="F11" s="51">
        <v>1372.1455508170193</v>
      </c>
      <c r="G11" s="51">
        <v>1481.2063148374684</v>
      </c>
      <c r="H11" s="51">
        <v>1537.351892116098</v>
      </c>
      <c r="I11" s="51">
        <v>1521.3615904959934</v>
      </c>
      <c r="J11" s="51">
        <v>1488.1494690652185</v>
      </c>
      <c r="K11" s="51">
        <v>1449.1247673045023</v>
      </c>
      <c r="L11" s="51">
        <v>1407.0507273097517</v>
      </c>
      <c r="N11" s="60" t="s">
        <v>44</v>
      </c>
      <c r="O11" s="60" t="s">
        <v>43</v>
      </c>
      <c r="P11" s="60" t="s">
        <v>64</v>
      </c>
      <c r="Q11" s="51">
        <v>1170.2127659574467</v>
      </c>
      <c r="R11" s="51">
        <v>1372.1455508170193</v>
      </c>
      <c r="S11" s="51">
        <v>1481.2063148374684</v>
      </c>
      <c r="T11" s="51">
        <v>1537.351892116098</v>
      </c>
      <c r="U11" s="51">
        <v>1521.3615904959934</v>
      </c>
      <c r="V11" s="51">
        <v>1488.1494690652185</v>
      </c>
      <c r="W11" s="51">
        <v>1449.1247673045023</v>
      </c>
      <c r="X11" s="51">
        <v>1407.0507273097517</v>
      </c>
    </row>
    <row r="12" spans="2:24">
      <c r="B12" s="60"/>
      <c r="C12" s="60"/>
      <c r="D12" s="60"/>
      <c r="E12" s="51"/>
      <c r="F12" s="51"/>
      <c r="G12" s="51"/>
      <c r="H12" s="51"/>
      <c r="I12" s="51"/>
      <c r="J12" s="51"/>
      <c r="K12" s="51"/>
      <c r="L12" s="51"/>
      <c r="N12" s="60"/>
      <c r="O12" s="60"/>
      <c r="P12" s="60"/>
      <c r="Q12" s="51"/>
      <c r="R12" s="51"/>
      <c r="S12" s="51"/>
      <c r="T12" s="51"/>
      <c r="U12" s="51"/>
      <c r="V12" s="51"/>
      <c r="W12" s="51"/>
      <c r="X12" s="51"/>
    </row>
    <row r="13" spans="2:24">
      <c r="B13" s="60">
        <v>1</v>
      </c>
      <c r="C13" s="60" t="s">
        <v>19</v>
      </c>
      <c r="D13" s="60" t="s">
        <v>71</v>
      </c>
      <c r="E13" s="51">
        <v>0</v>
      </c>
      <c r="F13" s="51">
        <v>3.4549982193289086</v>
      </c>
      <c r="G13" s="51">
        <v>17.295217871024491</v>
      </c>
      <c r="H13" s="51">
        <v>64.215513102189675</v>
      </c>
      <c r="I13" s="51">
        <v>63.5120709761146</v>
      </c>
      <c r="J13" s="51">
        <v>70.913439041409831</v>
      </c>
      <c r="K13" s="51">
        <v>78.606521937061942</v>
      </c>
      <c r="L13" s="51">
        <v>102.29151515222821</v>
      </c>
      <c r="N13" s="60">
        <v>1</v>
      </c>
      <c r="O13" s="60" t="s">
        <v>19</v>
      </c>
      <c r="P13" s="60" t="s">
        <v>71</v>
      </c>
      <c r="Q13" s="51">
        <v>0</v>
      </c>
      <c r="R13" s="51">
        <v>0</v>
      </c>
      <c r="S13" s="51">
        <v>0</v>
      </c>
      <c r="T13" s="51">
        <v>16.067990269914208</v>
      </c>
      <c r="U13" s="51">
        <v>19.952739059709714</v>
      </c>
      <c r="V13" s="51">
        <v>24.785294120908677</v>
      </c>
      <c r="W13" s="51">
        <v>31.32156311140626</v>
      </c>
      <c r="X13" s="51">
        <v>36.908640143159005</v>
      </c>
    </row>
    <row r="14" spans="2:24">
      <c r="B14" s="60">
        <v>2</v>
      </c>
      <c r="C14" s="60" t="s">
        <v>82</v>
      </c>
      <c r="D14" s="60" t="s">
        <v>71</v>
      </c>
      <c r="E14" s="51">
        <v>0</v>
      </c>
      <c r="F14" s="51">
        <v>0.75890064325708861</v>
      </c>
      <c r="G14" s="51">
        <v>0.97747980978927718</v>
      </c>
      <c r="H14" s="51">
        <v>1.2757024866613103</v>
      </c>
      <c r="I14" s="51">
        <v>3.4594921253054056</v>
      </c>
      <c r="J14" s="51">
        <v>5.163335366412336</v>
      </c>
      <c r="K14" s="51">
        <v>6.8655281496767131</v>
      </c>
      <c r="L14" s="51">
        <v>9.5042480848934208</v>
      </c>
      <c r="N14" s="60">
        <v>2</v>
      </c>
      <c r="O14" s="60" t="s">
        <v>82</v>
      </c>
      <c r="P14" s="60" t="s">
        <v>71</v>
      </c>
      <c r="Q14" s="51">
        <v>0</v>
      </c>
      <c r="R14" s="51">
        <v>0.74778790177453602</v>
      </c>
      <c r="S14" s="51">
        <v>0.96161473441486933</v>
      </c>
      <c r="T14" s="51">
        <v>1.183743999983091</v>
      </c>
      <c r="U14" s="51">
        <v>3.1426351197603091</v>
      </c>
      <c r="V14" s="51">
        <v>4.3469333009369882</v>
      </c>
      <c r="W14" s="51">
        <v>5.3405735500561908</v>
      </c>
      <c r="X14" s="51">
        <v>6.3582478814341084</v>
      </c>
    </row>
    <row r="15" spans="2:24">
      <c r="B15" s="60">
        <v>4</v>
      </c>
      <c r="C15" s="60" t="s">
        <v>57</v>
      </c>
      <c r="D15" s="60" t="s">
        <v>71</v>
      </c>
      <c r="E15" s="51">
        <v>0</v>
      </c>
      <c r="F15" s="51">
        <v>0.58543896327277989</v>
      </c>
      <c r="G15" s="51">
        <v>8.0006917856669926</v>
      </c>
      <c r="H15" s="51">
        <v>69.893341154615314</v>
      </c>
      <c r="I15" s="51">
        <v>102.77496470652257</v>
      </c>
      <c r="J15" s="51">
        <v>244.67780712649864</v>
      </c>
      <c r="K15" s="51">
        <v>342.37544141689722</v>
      </c>
      <c r="L15" s="51">
        <v>675.18634226814891</v>
      </c>
      <c r="N15" s="60">
        <v>4</v>
      </c>
      <c r="O15" s="60" t="s">
        <v>57</v>
      </c>
      <c r="P15" s="60" t="s">
        <v>71</v>
      </c>
      <c r="Q15" s="51">
        <v>0</v>
      </c>
      <c r="R15" s="51">
        <v>0.13274858059182751</v>
      </c>
      <c r="S15" s="51">
        <v>1.4973435290949724</v>
      </c>
      <c r="T15" s="51">
        <v>9.1521886357733315</v>
      </c>
      <c r="U15" s="51">
        <v>11.983045184112166</v>
      </c>
      <c r="V15" s="51">
        <v>27.175883126637441</v>
      </c>
      <c r="W15" s="51">
        <v>34.980483558265846</v>
      </c>
      <c r="X15" s="51">
        <v>84.980596907590467</v>
      </c>
    </row>
    <row r="16" spans="2:24">
      <c r="B16" s="60">
        <v>5</v>
      </c>
      <c r="C16" s="60" t="s">
        <v>51</v>
      </c>
      <c r="D16" s="60" t="s">
        <v>71</v>
      </c>
      <c r="E16" s="51">
        <v>0</v>
      </c>
      <c r="F16" s="51">
        <v>0</v>
      </c>
      <c r="G16" s="51">
        <v>0</v>
      </c>
      <c r="H16" s="51">
        <v>7.6890606418609586</v>
      </c>
      <c r="I16" s="51">
        <v>20.763123205630524</v>
      </c>
      <c r="J16" s="51">
        <v>46.637918854511895</v>
      </c>
      <c r="K16" s="51">
        <v>103.97628052723782</v>
      </c>
      <c r="L16" s="51">
        <v>236.70991652357978</v>
      </c>
      <c r="N16" s="60">
        <v>5</v>
      </c>
      <c r="O16" s="60" t="s">
        <v>51</v>
      </c>
      <c r="P16" s="60" t="s">
        <v>71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53.056146937737608</v>
      </c>
    </row>
    <row r="17" spans="2:24">
      <c r="B17" s="60">
        <v>6</v>
      </c>
      <c r="C17" s="53" t="s">
        <v>10</v>
      </c>
      <c r="D17" s="60" t="s">
        <v>71</v>
      </c>
      <c r="E17" s="51">
        <v>0</v>
      </c>
      <c r="F17" s="51">
        <v>18.317794363095341</v>
      </c>
      <c r="G17" s="51">
        <v>24.793714595399475</v>
      </c>
      <c r="H17" s="51">
        <v>32.906877678006673</v>
      </c>
      <c r="I17" s="51">
        <v>66.05498161040066</v>
      </c>
      <c r="J17" s="51">
        <v>134.84186451366739</v>
      </c>
      <c r="K17" s="51">
        <v>277.45404324525964</v>
      </c>
      <c r="L17" s="51">
        <v>579.61923112781903</v>
      </c>
      <c r="N17" s="60">
        <v>6</v>
      </c>
      <c r="O17" s="53" t="s">
        <v>10</v>
      </c>
      <c r="P17" s="60" t="s">
        <v>71</v>
      </c>
      <c r="Q17" s="51">
        <v>0</v>
      </c>
      <c r="R17" s="51">
        <v>0</v>
      </c>
      <c r="S17" s="51">
        <v>16.862129974180132</v>
      </c>
      <c r="T17" s="51">
        <v>27.38751603905655</v>
      </c>
      <c r="U17" s="51">
        <v>44.480108852090332</v>
      </c>
      <c r="V17" s="51">
        <v>73.293535319086999</v>
      </c>
      <c r="W17" s="51">
        <v>121.68888719201753</v>
      </c>
      <c r="X17" s="51">
        <v>206.48076556514351</v>
      </c>
    </row>
    <row r="18" spans="2:24">
      <c r="B18" s="60" t="s">
        <v>81</v>
      </c>
      <c r="C18" s="60" t="s">
        <v>80</v>
      </c>
      <c r="D18" s="60" t="s">
        <v>71</v>
      </c>
      <c r="E18" s="51">
        <v>0</v>
      </c>
      <c r="F18" s="51">
        <v>0</v>
      </c>
      <c r="G18" s="51">
        <v>0</v>
      </c>
      <c r="H18" s="51">
        <v>62.232959513123092</v>
      </c>
      <c r="I18" s="51">
        <v>83.768402100714979</v>
      </c>
      <c r="J18" s="51">
        <v>123.62068520275162</v>
      </c>
      <c r="K18" s="51">
        <v>173.69504280014647</v>
      </c>
      <c r="L18" s="51">
        <v>257.17804184269158</v>
      </c>
      <c r="N18" s="60" t="s">
        <v>81</v>
      </c>
      <c r="O18" s="60" t="s">
        <v>80</v>
      </c>
      <c r="P18" s="60" t="s">
        <v>71</v>
      </c>
      <c r="Q18" s="51">
        <v>0</v>
      </c>
      <c r="R18" s="51">
        <v>0</v>
      </c>
      <c r="S18" s="51">
        <v>0</v>
      </c>
      <c r="T18" s="51">
        <v>0.41308378861294937</v>
      </c>
      <c r="U18" s="51">
        <v>0.47241418441749017</v>
      </c>
      <c r="V18" s="51">
        <v>0.64787158108604237</v>
      </c>
      <c r="W18" s="51">
        <v>1.0430543252878008</v>
      </c>
      <c r="X18" s="51">
        <v>1.4254690798239327</v>
      </c>
    </row>
    <row r="19" spans="2:24">
      <c r="B19" s="60" t="s">
        <v>44</v>
      </c>
      <c r="C19" s="60" t="s">
        <v>43</v>
      </c>
      <c r="D19" s="60" t="s">
        <v>71</v>
      </c>
      <c r="E19" s="51">
        <v>325.0591016548463</v>
      </c>
      <c r="F19" s="51">
        <v>381.15154189361647</v>
      </c>
      <c r="G19" s="51">
        <v>411.44619856596341</v>
      </c>
      <c r="H19" s="51">
        <v>427.04219225447167</v>
      </c>
      <c r="I19" s="51">
        <v>422.6004418044426</v>
      </c>
      <c r="J19" s="51">
        <v>413.3748525181162</v>
      </c>
      <c r="K19" s="51">
        <v>402.53465758458395</v>
      </c>
      <c r="L19" s="51">
        <v>390.84742425270878</v>
      </c>
      <c r="N19" s="60" t="s">
        <v>44</v>
      </c>
      <c r="O19" s="60" t="s">
        <v>43</v>
      </c>
      <c r="P19" s="60" t="s">
        <v>71</v>
      </c>
      <c r="Q19" s="51">
        <v>325.0591016548463</v>
      </c>
      <c r="R19" s="51">
        <v>381.15154189361647</v>
      </c>
      <c r="S19" s="51">
        <v>411.44619856596341</v>
      </c>
      <c r="T19" s="51">
        <v>427.04219225447167</v>
      </c>
      <c r="U19" s="51">
        <v>422.6004418044426</v>
      </c>
      <c r="V19" s="51">
        <v>413.3748525181162</v>
      </c>
      <c r="W19" s="51">
        <v>402.53465758458395</v>
      </c>
      <c r="X19" s="51">
        <v>390.84742425270878</v>
      </c>
    </row>
    <row r="20" spans="2:24">
      <c r="E20" s="51"/>
      <c r="F20" s="51"/>
      <c r="G20" s="51"/>
      <c r="H20" s="51"/>
      <c r="I20" s="51"/>
      <c r="J20" s="51"/>
      <c r="K20" s="51"/>
      <c r="L20" s="51"/>
      <c r="Q20" s="65"/>
      <c r="R20" s="65"/>
      <c r="S20" s="65"/>
      <c r="T20" s="65"/>
      <c r="U20" s="65"/>
      <c r="V20" s="65"/>
      <c r="W20" s="65"/>
      <c r="X20" s="65"/>
    </row>
    <row r="21" spans="2:24" s="62" customFormat="1">
      <c r="C21" s="62" t="s">
        <v>79</v>
      </c>
      <c r="D21" s="64" t="s">
        <v>64</v>
      </c>
      <c r="E21" s="63">
        <v>1170.2127659574467</v>
      </c>
      <c r="F21" s="63">
        <v>1455.3672266972542</v>
      </c>
      <c r="G21" s="63">
        <v>1665.0478894602372</v>
      </c>
      <c r="H21" s="63">
        <v>2394.9203285913432</v>
      </c>
      <c r="I21" s="63">
        <v>2746.5605155048729</v>
      </c>
      <c r="J21" s="63">
        <v>3741.2276494441248</v>
      </c>
      <c r="K21" s="63">
        <v>4987.8270563791102</v>
      </c>
      <c r="L21" s="63">
        <v>8104.8121893074513</v>
      </c>
      <c r="O21" s="62" t="s">
        <v>79</v>
      </c>
      <c r="P21" s="64" t="s">
        <v>64</v>
      </c>
      <c r="Q21" s="63">
        <v>1170.2127659574467</v>
      </c>
      <c r="R21" s="63">
        <v>1375.3154821535381</v>
      </c>
      <c r="S21" s="63">
        <v>1550.7622324931524</v>
      </c>
      <c r="T21" s="63">
        <v>1732.4881739561224</v>
      </c>
      <c r="U21" s="63">
        <v>1809.4729831363175</v>
      </c>
      <c r="V21" s="63">
        <v>1957.0477318803805</v>
      </c>
      <c r="W21" s="63">
        <v>2148.873189557823</v>
      </c>
      <c r="X21" s="63">
        <v>2808.2062467633509</v>
      </c>
    </row>
    <row r="22" spans="2:24" s="62" customFormat="1">
      <c r="D22" s="64" t="s">
        <v>71</v>
      </c>
      <c r="E22" s="63">
        <f t="shared" ref="E22:L22" si="0">E21/3.6</f>
        <v>325.0591016548463</v>
      </c>
      <c r="F22" s="63">
        <f t="shared" si="0"/>
        <v>404.26867408257061</v>
      </c>
      <c r="G22" s="63">
        <f t="shared" si="0"/>
        <v>462.51330262784364</v>
      </c>
      <c r="H22" s="63">
        <f t="shared" si="0"/>
        <v>665.25564683092864</v>
      </c>
      <c r="I22" s="63">
        <f t="shared" si="0"/>
        <v>762.93347652913133</v>
      </c>
      <c r="J22" s="63">
        <f t="shared" si="0"/>
        <v>1039.2299026233679</v>
      </c>
      <c r="K22" s="63">
        <f t="shared" si="0"/>
        <v>1385.5075156608639</v>
      </c>
      <c r="L22" s="63">
        <f t="shared" si="0"/>
        <v>2251.3367192520695</v>
      </c>
      <c r="P22" s="64" t="s">
        <v>71</v>
      </c>
      <c r="Q22" s="63">
        <f t="shared" ref="Q22:X22" si="1">Q21/3.6</f>
        <v>325.0591016548463</v>
      </c>
      <c r="R22" s="63">
        <f t="shared" si="1"/>
        <v>382.03207837598279</v>
      </c>
      <c r="S22" s="63">
        <f t="shared" si="1"/>
        <v>430.76728680365341</v>
      </c>
      <c r="T22" s="63">
        <f t="shared" si="1"/>
        <v>481.24671498781174</v>
      </c>
      <c r="U22" s="63">
        <f t="shared" si="1"/>
        <v>502.63138420453259</v>
      </c>
      <c r="V22" s="63">
        <f t="shared" si="1"/>
        <v>543.62436996677241</v>
      </c>
      <c r="W22" s="63">
        <f t="shared" si="1"/>
        <v>596.90921932161746</v>
      </c>
      <c r="X22" s="63">
        <f t="shared" si="1"/>
        <v>780.05729076759746</v>
      </c>
    </row>
    <row r="23" spans="2:24" s="62" customFormat="1">
      <c r="D23" s="62" t="s">
        <v>0</v>
      </c>
      <c r="E23" s="63">
        <f t="shared" ref="E23:L23" si="2">E21*7.05</f>
        <v>8249.9999999999982</v>
      </c>
      <c r="F23" s="63">
        <f t="shared" si="2"/>
        <v>10260.338948215642</v>
      </c>
      <c r="G23" s="63">
        <f t="shared" si="2"/>
        <v>11738.587620694672</v>
      </c>
      <c r="H23" s="63">
        <f t="shared" si="2"/>
        <v>16884.188316568969</v>
      </c>
      <c r="I23" s="63">
        <f t="shared" si="2"/>
        <v>19363.251634309352</v>
      </c>
      <c r="J23" s="63">
        <f t="shared" si="2"/>
        <v>26375.65492858108</v>
      </c>
      <c r="K23" s="63">
        <f t="shared" si="2"/>
        <v>35164.180747472725</v>
      </c>
      <c r="L23" s="63">
        <f t="shared" si="2"/>
        <v>57138.925934617531</v>
      </c>
      <c r="P23" s="62" t="s">
        <v>0</v>
      </c>
      <c r="Q23" s="63">
        <f t="shared" ref="Q23:X23" si="3">Q21*7.05</f>
        <v>8249.9999999999982</v>
      </c>
      <c r="R23" s="63">
        <f t="shared" si="3"/>
        <v>9695.9741491824443</v>
      </c>
      <c r="S23" s="63">
        <f t="shared" si="3"/>
        <v>10932.873739076724</v>
      </c>
      <c r="T23" s="63">
        <f t="shared" si="3"/>
        <v>12214.041626390663</v>
      </c>
      <c r="U23" s="63">
        <f t="shared" si="3"/>
        <v>12756.784531111038</v>
      </c>
      <c r="V23" s="63">
        <f t="shared" si="3"/>
        <v>13797.186509756682</v>
      </c>
      <c r="W23" s="63">
        <f t="shared" si="3"/>
        <v>15149.555986382651</v>
      </c>
      <c r="X23" s="63">
        <f t="shared" si="3"/>
        <v>19797.854039681624</v>
      </c>
    </row>
    <row r="24" spans="2:24">
      <c r="E24" s="51"/>
      <c r="F24" s="51"/>
      <c r="G24" s="51"/>
      <c r="H24" s="51"/>
      <c r="I24" s="51"/>
      <c r="J24" s="51"/>
      <c r="K24" s="51"/>
      <c r="L24" s="51"/>
      <c r="Q24" s="61"/>
      <c r="R24" s="61"/>
      <c r="S24" s="61"/>
      <c r="T24" s="61"/>
      <c r="U24" s="61"/>
      <c r="V24" s="61"/>
      <c r="W24" s="61"/>
      <c r="X24" s="61"/>
    </row>
    <row r="25" spans="2:24">
      <c r="C25" s="49" t="s">
        <v>78</v>
      </c>
      <c r="D25" s="60" t="s">
        <v>64</v>
      </c>
      <c r="E25" s="51">
        <v>50600.408801867998</v>
      </c>
      <c r="F25" s="51">
        <v>47785.56708763152</v>
      </c>
      <c r="G25" s="51">
        <v>45127.311734331975</v>
      </c>
      <c r="H25" s="51">
        <v>41575.59036281619</v>
      </c>
      <c r="I25" s="51">
        <v>38965.547222405461</v>
      </c>
      <c r="J25" s="51">
        <v>36957.046031299884</v>
      </c>
      <c r="K25" s="51">
        <v>35106.521106954518</v>
      </c>
      <c r="L25" s="51">
        <v>33592.406207082771</v>
      </c>
      <c r="O25" s="49" t="s">
        <v>78</v>
      </c>
      <c r="P25" s="60" t="s">
        <v>64</v>
      </c>
      <c r="Q25" s="51">
        <v>50600.408801867998</v>
      </c>
      <c r="R25" s="51">
        <v>47785.56708763152</v>
      </c>
      <c r="S25" s="51">
        <v>45127.311734331975</v>
      </c>
      <c r="T25" s="51">
        <v>41575.59036281619</v>
      </c>
      <c r="U25" s="51">
        <v>38965.547222405461</v>
      </c>
      <c r="V25" s="51">
        <v>36957.046031299884</v>
      </c>
      <c r="W25" s="51">
        <v>35106.521106954518</v>
      </c>
      <c r="X25" s="51">
        <v>33592.406207082771</v>
      </c>
    </row>
    <row r="26" spans="2:24" s="58" customFormat="1">
      <c r="C26" s="58" t="s">
        <v>77</v>
      </c>
      <c r="D26" s="58" t="s">
        <v>30</v>
      </c>
      <c r="E26" s="59">
        <f t="shared" ref="E26:L26" si="4">SUM(E6:E11,50%*E5)/E25</f>
        <v>2.3126547663667223E-2</v>
      </c>
      <c r="F26" s="59">
        <f t="shared" si="4"/>
        <v>3.0326065341967016E-2</v>
      </c>
      <c r="G26" s="59">
        <f t="shared" si="4"/>
        <v>3.62068209804162E-2</v>
      </c>
      <c r="H26" s="59">
        <f t="shared" si="4"/>
        <v>5.4823813326916944E-2</v>
      </c>
      <c r="I26" s="59">
        <f t="shared" si="4"/>
        <v>6.7552978859085816E-2</v>
      </c>
      <c r="J26" s="59">
        <f t="shared" si="4"/>
        <v>9.7777929981447895E-2</v>
      </c>
      <c r="K26" s="59">
        <f t="shared" si="4"/>
        <v>0.13804658405564291</v>
      </c>
      <c r="L26" s="59">
        <f t="shared" si="4"/>
        <v>0.2357880353436369</v>
      </c>
      <c r="O26" s="58" t="s">
        <v>77</v>
      </c>
      <c r="P26" s="58" t="s">
        <v>30</v>
      </c>
      <c r="Q26" s="59">
        <f t="shared" ref="Q26:X26" si="5">SUM(Q6:Q11,50%*Q5)/Q25</f>
        <v>2.3126547663667223E-2</v>
      </c>
      <c r="R26" s="59">
        <f t="shared" si="5"/>
        <v>2.8780980659524603E-2</v>
      </c>
      <c r="S26" s="59">
        <f t="shared" si="5"/>
        <v>3.4364161588499031E-2</v>
      </c>
      <c r="T26" s="59">
        <f t="shared" si="5"/>
        <v>4.0975143746699236E-2</v>
      </c>
      <c r="U26" s="59">
        <f t="shared" si="5"/>
        <v>4.5516056600099067E-2</v>
      </c>
      <c r="V26" s="59">
        <f t="shared" si="5"/>
        <v>5.1747485468482915E-2</v>
      </c>
      <c r="W26" s="59">
        <f t="shared" si="5"/>
        <v>5.9604150738330315E-2</v>
      </c>
      <c r="X26" s="59">
        <f t="shared" si="5"/>
        <v>8.161876459827927E-2</v>
      </c>
    </row>
    <row r="27" spans="2:24">
      <c r="E27" s="57"/>
      <c r="F27" s="56"/>
      <c r="G27" s="56"/>
      <c r="H27" s="56"/>
      <c r="I27" s="56"/>
      <c r="J27" s="56"/>
      <c r="K27" s="56"/>
      <c r="L27" s="56"/>
      <c r="Q27" s="50"/>
      <c r="R27" s="56"/>
      <c r="S27" s="56"/>
      <c r="T27" s="56"/>
      <c r="U27" s="56"/>
      <c r="V27" s="56"/>
      <c r="W27" s="56"/>
      <c r="X27" s="56"/>
    </row>
    <row r="29" spans="2:24">
      <c r="C29" s="23" t="s">
        <v>29</v>
      </c>
      <c r="D29" s="23"/>
      <c r="E29" s="23"/>
      <c r="F29" s="23"/>
      <c r="G29" s="23"/>
      <c r="O29" s="23" t="s">
        <v>29</v>
      </c>
      <c r="P29" s="23"/>
      <c r="Q29" s="23"/>
      <c r="R29" s="23"/>
      <c r="S29" s="23"/>
    </row>
    <row r="31" spans="2:24">
      <c r="C31" s="55" t="s">
        <v>28</v>
      </c>
      <c r="D31" s="55" t="s">
        <v>27</v>
      </c>
      <c r="E31" s="55">
        <v>2015</v>
      </c>
      <c r="F31" s="55">
        <v>2030</v>
      </c>
      <c r="G31" s="55">
        <v>2050</v>
      </c>
      <c r="O31" s="55" t="s">
        <v>28</v>
      </c>
      <c r="P31" s="55" t="s">
        <v>27</v>
      </c>
      <c r="Q31" s="55">
        <v>2015</v>
      </c>
      <c r="R31" s="55">
        <v>2030</v>
      </c>
      <c r="S31" s="55">
        <v>2050</v>
      </c>
    </row>
    <row r="32" spans="2:24">
      <c r="C32" s="49" t="s">
        <v>76</v>
      </c>
      <c r="D32" s="49" t="s">
        <v>71</v>
      </c>
      <c r="E32" s="51">
        <f>ROUND(E25/3.6,-2)</f>
        <v>14100</v>
      </c>
      <c r="F32" s="51">
        <f>ROUND(H25/3.6,-2)</f>
        <v>11500</v>
      </c>
      <c r="G32" s="51">
        <f>ROUND(L25/3.6,-2)</f>
        <v>9300</v>
      </c>
      <c r="O32" s="49" t="s">
        <v>76</v>
      </c>
      <c r="P32" s="49" t="s">
        <v>71</v>
      </c>
      <c r="Q32" s="51">
        <f>ROUND(Q25/3.6,-2)</f>
        <v>14100</v>
      </c>
      <c r="R32" s="51">
        <f>ROUND(T25/3.6,-2)</f>
        <v>11500</v>
      </c>
      <c r="S32" s="51">
        <f>ROUND(X25/3.6,-2)</f>
        <v>9300</v>
      </c>
    </row>
    <row r="33" spans="3:19">
      <c r="C33" s="49" t="s">
        <v>75</v>
      </c>
      <c r="E33" s="54">
        <f>SUM(E35:E40)/E32</f>
        <v>2.3053836996797611E-2</v>
      </c>
      <c r="F33" s="54">
        <f>SUM(F35:F40)/F32</f>
        <v>5.7848317115732933E-2</v>
      </c>
      <c r="G33" s="54">
        <f>SUM(G35:G40)/G32</f>
        <v>0.24207921712387845</v>
      </c>
      <c r="O33" s="49" t="s">
        <v>75</v>
      </c>
      <c r="Q33" s="54">
        <f>SUM(Q35:Q40)/Q32</f>
        <v>2.3053836996797611E-2</v>
      </c>
      <c r="R33" s="54">
        <f>SUM(R35:R40)/R32</f>
        <v>4.1847540433722769E-2</v>
      </c>
      <c r="S33" s="54">
        <f>SUM(S35:S40)/S32</f>
        <v>8.3877128039526599E-2</v>
      </c>
    </row>
    <row r="35" spans="3:19">
      <c r="C35" s="52" t="s">
        <v>74</v>
      </c>
      <c r="D35" s="49" t="s">
        <v>71</v>
      </c>
      <c r="E35" s="51">
        <f>E13+E14</f>
        <v>0</v>
      </c>
      <c r="F35" s="51">
        <f>H13+H14</f>
        <v>65.491215588850991</v>
      </c>
      <c r="G35" s="51">
        <f>L13+L14</f>
        <v>111.79576323712163</v>
      </c>
      <c r="O35" s="52" t="s">
        <v>74</v>
      </c>
      <c r="P35" s="49" t="s">
        <v>71</v>
      </c>
      <c r="Q35" s="51">
        <f>Q13+Q14</f>
        <v>0</v>
      </c>
      <c r="R35" s="51">
        <f>T13+T14</f>
        <v>17.251734269897298</v>
      </c>
      <c r="S35" s="51">
        <f>X13+X14</f>
        <v>43.266888024593115</v>
      </c>
    </row>
    <row r="36" spans="3:19">
      <c r="C36" s="52" t="s">
        <v>57</v>
      </c>
      <c r="D36" s="49" t="s">
        <v>71</v>
      </c>
      <c r="E36" s="51">
        <f>E15</f>
        <v>0</v>
      </c>
      <c r="F36" s="51">
        <f>H15</f>
        <v>69.893341154615314</v>
      </c>
      <c r="G36" s="51">
        <f>L15</f>
        <v>675.18634226814891</v>
      </c>
      <c r="O36" s="52" t="s">
        <v>57</v>
      </c>
      <c r="P36" s="49" t="s">
        <v>71</v>
      </c>
      <c r="Q36" s="51">
        <f>Q15</f>
        <v>0</v>
      </c>
      <c r="R36" s="51">
        <f>T15</f>
        <v>9.1521886357733315</v>
      </c>
      <c r="S36" s="51">
        <f>X15</f>
        <v>84.980596907590467</v>
      </c>
    </row>
    <row r="37" spans="3:19">
      <c r="C37" s="53" t="s">
        <v>10</v>
      </c>
      <c r="D37" s="49" t="s">
        <v>71</v>
      </c>
      <c r="E37" s="51">
        <f>E17</f>
        <v>0</v>
      </c>
      <c r="F37" s="51">
        <f>H17</f>
        <v>32.906877678006673</v>
      </c>
      <c r="G37" s="51">
        <f>L17</f>
        <v>579.61923112781903</v>
      </c>
      <c r="O37" s="53" t="s">
        <v>10</v>
      </c>
      <c r="P37" s="49" t="s">
        <v>71</v>
      </c>
      <c r="Q37" s="51">
        <f>Q17</f>
        <v>0</v>
      </c>
      <c r="R37" s="51">
        <f>T17</f>
        <v>27.38751603905655</v>
      </c>
      <c r="S37" s="51">
        <f>X17</f>
        <v>206.48076556514351</v>
      </c>
    </row>
    <row r="38" spans="3:19">
      <c r="C38" s="52" t="s">
        <v>51</v>
      </c>
      <c r="D38" s="49" t="s">
        <v>71</v>
      </c>
      <c r="E38" s="51">
        <f>E16</f>
        <v>0</v>
      </c>
      <c r="F38" s="51">
        <f>H16</f>
        <v>7.6890606418609586</v>
      </c>
      <c r="G38" s="51">
        <f>L16</f>
        <v>236.70991652357978</v>
      </c>
      <c r="O38" s="52" t="s">
        <v>51</v>
      </c>
      <c r="P38" s="49" t="s">
        <v>71</v>
      </c>
      <c r="Q38" s="51">
        <f>Q16</f>
        <v>0</v>
      </c>
      <c r="R38" s="51">
        <f>T16</f>
        <v>0</v>
      </c>
      <c r="S38" s="51">
        <f>X16</f>
        <v>53.056146937737608</v>
      </c>
    </row>
    <row r="39" spans="3:19">
      <c r="C39" s="52" t="s">
        <v>73</v>
      </c>
      <c r="D39" s="49" t="s">
        <v>71</v>
      </c>
      <c r="E39" s="51">
        <f>E18</f>
        <v>0</v>
      </c>
      <c r="F39" s="51">
        <f>H18</f>
        <v>62.232959513123092</v>
      </c>
      <c r="G39" s="51">
        <f>L18</f>
        <v>257.17804184269158</v>
      </c>
      <c r="O39" s="52" t="s">
        <v>73</v>
      </c>
      <c r="P39" s="49" t="s">
        <v>71</v>
      </c>
      <c r="Q39" s="51">
        <f>Q18</f>
        <v>0</v>
      </c>
      <c r="R39" s="51">
        <f>T18</f>
        <v>0.41308378861294937</v>
      </c>
      <c r="S39" s="51">
        <f>X18</f>
        <v>1.4254690798239327</v>
      </c>
    </row>
    <row r="40" spans="3:19">
      <c r="C40" s="52" t="s">
        <v>72</v>
      </c>
      <c r="D40" s="49" t="s">
        <v>71</v>
      </c>
      <c r="E40" s="51">
        <f>E19</f>
        <v>325.0591016548463</v>
      </c>
      <c r="F40" s="51">
        <f>H19</f>
        <v>427.04219225447167</v>
      </c>
      <c r="G40" s="51">
        <f>L19</f>
        <v>390.84742425270878</v>
      </c>
      <c r="O40" s="52" t="s">
        <v>72</v>
      </c>
      <c r="P40" s="49" t="s">
        <v>71</v>
      </c>
      <c r="Q40" s="51">
        <f>Q19</f>
        <v>325.0591016548463</v>
      </c>
      <c r="R40" s="51">
        <f>T19</f>
        <v>427.04219225447167</v>
      </c>
      <c r="S40" s="51">
        <f>X19</f>
        <v>390.84742425270878</v>
      </c>
    </row>
    <row r="42" spans="3:19">
      <c r="E42" s="50"/>
      <c r="G42" s="50"/>
    </row>
    <row r="125" spans="3:3">
      <c r="C125" s="49" t="s">
        <v>70</v>
      </c>
    </row>
  </sheetData>
  <mergeCells count="1">
    <mergeCell ref="B1:X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="80" zoomScaleNormal="80" workbookViewId="0">
      <selection activeCell="B1" sqref="B1:D1"/>
    </sheetView>
  </sheetViews>
  <sheetFormatPr defaultRowHeight="15"/>
  <cols>
    <col min="1" max="1" width="1.42578125" customWidth="1"/>
    <col min="2" max="2" width="34.28515625" customWidth="1"/>
    <col min="3" max="3" width="46.140625" bestFit="1" customWidth="1"/>
    <col min="4" max="4" width="11.42578125" customWidth="1"/>
  </cols>
  <sheetData>
    <row r="1" spans="1:17" ht="18.75">
      <c r="B1" s="206" t="s">
        <v>109</v>
      </c>
      <c r="C1" s="206"/>
      <c r="D1" s="206"/>
    </row>
    <row r="2" spans="1:17" s="92" customFormat="1">
      <c r="B2" s="93"/>
      <c r="C2" s="93"/>
      <c r="D2" s="93"/>
    </row>
    <row r="3" spans="1:17">
      <c r="B3" s="79" t="s">
        <v>68</v>
      </c>
      <c r="C3" s="79" t="s">
        <v>27</v>
      </c>
      <c r="D3" s="79">
        <v>2050</v>
      </c>
    </row>
    <row r="4" spans="1:17">
      <c r="B4" t="s">
        <v>108</v>
      </c>
      <c r="C4" t="s">
        <v>107</v>
      </c>
      <c r="D4" s="90">
        <v>0.24207921712387845</v>
      </c>
    </row>
    <row r="5" spans="1:17">
      <c r="B5" s="31" t="s">
        <v>106</v>
      </c>
      <c r="C5" s="88" t="s">
        <v>105</v>
      </c>
      <c r="D5" s="91">
        <v>562.30213576312531</v>
      </c>
      <c r="E5" s="88"/>
      <c r="F5" s="88"/>
      <c r="G5" s="88"/>
      <c r="H5" s="88"/>
      <c r="I5" s="88"/>
    </row>
    <row r="6" spans="1:17">
      <c r="B6" s="31" t="s">
        <v>104</v>
      </c>
      <c r="C6" s="88" t="s">
        <v>103</v>
      </c>
      <c r="D6" s="91">
        <v>815.63147894982797</v>
      </c>
      <c r="E6" s="88"/>
      <c r="F6" s="88"/>
      <c r="G6" s="88"/>
      <c r="H6" s="88"/>
      <c r="I6" s="88"/>
    </row>
    <row r="7" spans="1:17">
      <c r="B7" s="31" t="s">
        <v>102</v>
      </c>
      <c r="C7" s="88" t="s">
        <v>101</v>
      </c>
      <c r="D7" s="90">
        <v>0.15</v>
      </c>
      <c r="E7" s="74"/>
      <c r="F7" s="88"/>
      <c r="G7" s="88"/>
      <c r="H7" s="88"/>
      <c r="I7" s="88"/>
    </row>
    <row r="8" spans="1:17">
      <c r="B8" t="s">
        <v>100</v>
      </c>
      <c r="C8" s="88" t="s">
        <v>99</v>
      </c>
      <c r="D8" s="89">
        <v>5.4386646599316997</v>
      </c>
      <c r="E8" s="88"/>
      <c r="F8" s="88"/>
      <c r="G8" s="88"/>
      <c r="H8" s="88"/>
      <c r="I8" s="88"/>
    </row>
    <row r="9" spans="1:17">
      <c r="D9" s="88"/>
      <c r="E9" s="88"/>
      <c r="F9" s="88"/>
      <c r="G9" s="88"/>
      <c r="H9" s="88"/>
      <c r="I9" s="88"/>
    </row>
    <row r="10" spans="1:17">
      <c r="D10" s="88"/>
      <c r="E10" s="88"/>
      <c r="F10" s="88"/>
      <c r="G10" s="88"/>
      <c r="H10" s="88"/>
      <c r="I10" s="88"/>
    </row>
    <row r="11" spans="1:17">
      <c r="A11" s="86"/>
      <c r="B11" s="86"/>
      <c r="C11" s="86"/>
      <c r="D11" s="87"/>
      <c r="E11" s="87"/>
      <c r="F11" s="87"/>
      <c r="G11" s="87"/>
      <c r="H11" s="87"/>
      <c r="I11" s="87"/>
      <c r="J11" s="86"/>
      <c r="K11" s="86"/>
      <c r="L11" s="86"/>
      <c r="M11" s="86"/>
      <c r="N11" s="86"/>
      <c r="O11" s="86"/>
      <c r="P11" s="86"/>
      <c r="Q11" s="86"/>
    </row>
  </sheetData>
  <mergeCells count="1">
    <mergeCell ref="B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zoomScale="80" zoomScaleNormal="80" workbookViewId="0">
      <selection activeCell="D17" sqref="D17"/>
    </sheetView>
  </sheetViews>
  <sheetFormatPr defaultRowHeight="15"/>
  <cols>
    <col min="1" max="1" width="2.42578125" customWidth="1"/>
    <col min="2" max="2" width="4.28515625" customWidth="1"/>
    <col min="3" max="3" width="27.42578125" bestFit="1" customWidth="1"/>
    <col min="4" max="4" width="35.42578125" bestFit="1" customWidth="1"/>
    <col min="5" max="5" width="43.28515625" bestFit="1" customWidth="1"/>
    <col min="6" max="6" width="18.42578125" customWidth="1"/>
  </cols>
  <sheetData>
    <row r="1" spans="2:6" ht="18.75">
      <c r="B1" s="206" t="s">
        <v>230</v>
      </c>
      <c r="C1" s="206"/>
      <c r="D1" s="206"/>
      <c r="E1" s="206"/>
      <c r="F1" s="206"/>
    </row>
    <row r="3" spans="2:6">
      <c r="B3" s="201"/>
      <c r="C3" s="80" t="s">
        <v>28</v>
      </c>
      <c r="D3" s="80" t="s">
        <v>229</v>
      </c>
      <c r="E3" s="80" t="s">
        <v>27</v>
      </c>
      <c r="F3" s="80" t="s">
        <v>228</v>
      </c>
    </row>
    <row r="4" spans="2:6">
      <c r="B4" s="53">
        <v>4</v>
      </c>
      <c r="C4" s="53" t="s">
        <v>57</v>
      </c>
      <c r="D4" s="154" t="s">
        <v>227</v>
      </c>
      <c r="E4" s="154" t="s">
        <v>222</v>
      </c>
      <c r="F4" s="199">
        <v>0.3914429980861967</v>
      </c>
    </row>
    <row r="5" spans="2:6">
      <c r="B5" s="53">
        <v>4</v>
      </c>
      <c r="C5" s="53" t="s">
        <v>57</v>
      </c>
      <c r="D5" s="154" t="s">
        <v>226</v>
      </c>
      <c r="E5" s="154" t="s">
        <v>222</v>
      </c>
      <c r="F5" s="199">
        <v>0.21864554788408799</v>
      </c>
    </row>
    <row r="6" spans="2:6">
      <c r="B6" s="53">
        <v>4</v>
      </c>
      <c r="C6" s="53" t="s">
        <v>57</v>
      </c>
      <c r="D6" s="154" t="s">
        <v>225</v>
      </c>
      <c r="E6" s="154" t="s">
        <v>222</v>
      </c>
      <c r="F6" s="199">
        <v>0.29957495848049959</v>
      </c>
    </row>
    <row r="7" spans="2:6">
      <c r="B7" s="53">
        <v>4</v>
      </c>
      <c r="C7" s="53" t="s">
        <v>57</v>
      </c>
      <c r="D7" s="92" t="s">
        <v>224</v>
      </c>
      <c r="E7" s="154" t="s">
        <v>222</v>
      </c>
      <c r="F7" s="199">
        <v>8.5550694875917474E-2</v>
      </c>
    </row>
    <row r="8" spans="2:6">
      <c r="B8" s="53">
        <v>4</v>
      </c>
      <c r="C8" s="53" t="s">
        <v>57</v>
      </c>
      <c r="D8" s="92" t="s">
        <v>223</v>
      </c>
      <c r="E8" s="154" t="s">
        <v>222</v>
      </c>
      <c r="F8" s="199">
        <v>3.8939020501010647E-2</v>
      </c>
    </row>
    <row r="9" spans="2:6">
      <c r="B9" s="53"/>
      <c r="C9" s="53"/>
      <c r="D9" s="92"/>
      <c r="E9" s="154"/>
      <c r="F9" s="199"/>
    </row>
    <row r="10" spans="2:6">
      <c r="B10" s="53">
        <v>6</v>
      </c>
      <c r="C10" s="53" t="s">
        <v>10</v>
      </c>
      <c r="D10" s="53" t="s">
        <v>221</v>
      </c>
      <c r="E10" s="154" t="s">
        <v>219</v>
      </c>
      <c r="F10" s="199">
        <v>2.472542668652792E-2</v>
      </c>
    </row>
    <row r="11" spans="2:6">
      <c r="B11" s="53">
        <v>6</v>
      </c>
      <c r="C11" s="53" t="s">
        <v>10</v>
      </c>
      <c r="D11" s="53" t="s">
        <v>220</v>
      </c>
      <c r="E11" s="154" t="s">
        <v>219</v>
      </c>
      <c r="F11" s="199">
        <v>0.15527457331347208</v>
      </c>
    </row>
    <row r="12" spans="2:6">
      <c r="B12" s="53"/>
      <c r="C12" s="53"/>
      <c r="D12" s="53"/>
      <c r="E12" s="154"/>
      <c r="F12" s="199"/>
    </row>
    <row r="13" spans="2:6">
      <c r="B13" s="53">
        <v>5</v>
      </c>
      <c r="C13" s="53" t="s">
        <v>51</v>
      </c>
      <c r="D13" s="53" t="s">
        <v>9</v>
      </c>
      <c r="E13" s="154" t="s">
        <v>218</v>
      </c>
      <c r="F13" s="200">
        <v>0.23</v>
      </c>
    </row>
    <row r="14" spans="2:6">
      <c r="B14" s="53"/>
      <c r="C14" s="53"/>
      <c r="D14" s="53"/>
      <c r="E14" s="154"/>
      <c r="F14" s="200"/>
    </row>
    <row r="15" spans="2:6">
      <c r="B15" s="53">
        <v>7</v>
      </c>
      <c r="C15" s="53" t="s">
        <v>214</v>
      </c>
      <c r="D15" s="53" t="s">
        <v>217</v>
      </c>
      <c r="E15" s="154" t="s">
        <v>212</v>
      </c>
      <c r="F15" s="200">
        <v>1</v>
      </c>
    </row>
    <row r="16" spans="2:6">
      <c r="B16" s="53">
        <v>7</v>
      </c>
      <c r="C16" s="53" t="s">
        <v>214</v>
      </c>
      <c r="D16" s="53" t="s">
        <v>216</v>
      </c>
      <c r="E16" s="154" t="s">
        <v>212</v>
      </c>
      <c r="F16" s="200">
        <v>0.8</v>
      </c>
    </row>
    <row r="17" spans="2:6">
      <c r="B17" s="53">
        <v>7</v>
      </c>
      <c r="C17" s="53" t="s">
        <v>214</v>
      </c>
      <c r="D17" s="53" t="s">
        <v>215</v>
      </c>
      <c r="E17" s="154" t="s">
        <v>212</v>
      </c>
      <c r="F17" s="200">
        <v>0.2</v>
      </c>
    </row>
    <row r="18" spans="2:6">
      <c r="B18" s="53">
        <v>7</v>
      </c>
      <c r="C18" s="53" t="s">
        <v>214</v>
      </c>
      <c r="D18" s="53" t="s">
        <v>213</v>
      </c>
      <c r="E18" s="154" t="s">
        <v>212</v>
      </c>
      <c r="F18" s="200">
        <v>0.3</v>
      </c>
    </row>
    <row r="19" spans="2:6">
      <c r="B19" s="53"/>
      <c r="C19" s="53"/>
      <c r="D19" s="53"/>
      <c r="E19" s="154"/>
      <c r="F19" s="200"/>
    </row>
    <row r="20" spans="2:6">
      <c r="B20" s="53">
        <v>1</v>
      </c>
      <c r="C20" s="53" t="s">
        <v>19</v>
      </c>
      <c r="D20" s="53" t="s">
        <v>211</v>
      </c>
      <c r="E20" s="154" t="s">
        <v>210</v>
      </c>
      <c r="F20" s="200">
        <v>2.120084460690454E-2</v>
      </c>
    </row>
    <row r="21" spans="2:6">
      <c r="B21" s="53">
        <v>1</v>
      </c>
      <c r="C21" s="53" t="s">
        <v>19</v>
      </c>
      <c r="D21" s="53" t="s">
        <v>209</v>
      </c>
      <c r="E21" s="154" t="s">
        <v>208</v>
      </c>
      <c r="F21" s="199">
        <v>0.54661753312629202</v>
      </c>
    </row>
    <row r="24" spans="2:6">
      <c r="B24" s="196"/>
      <c r="C24" s="197"/>
      <c r="D24" s="198"/>
    </row>
    <row r="25" spans="2:6">
      <c r="B25" s="196"/>
      <c r="C25" s="197"/>
      <c r="D25" s="198"/>
    </row>
    <row r="26" spans="2:6">
      <c r="B26" s="196"/>
      <c r="C26" s="197"/>
      <c r="D26" s="198"/>
    </row>
    <row r="27" spans="2:6">
      <c r="B27" s="196"/>
      <c r="C27" s="159"/>
      <c r="D27" s="198"/>
    </row>
    <row r="28" spans="2:6">
      <c r="B28" s="196"/>
      <c r="C28" s="197"/>
      <c r="D28" s="198"/>
    </row>
    <row r="29" spans="2:6">
      <c r="B29" s="196"/>
      <c r="C29" s="197"/>
      <c r="D29" s="198"/>
    </row>
    <row r="30" spans="2:6">
      <c r="B30" s="196"/>
      <c r="C30" s="197"/>
      <c r="D30" s="198"/>
    </row>
    <row r="31" spans="2:6">
      <c r="B31" s="196"/>
      <c r="C31" s="197"/>
      <c r="D31" s="195"/>
    </row>
    <row r="32" spans="2:6">
      <c r="B32" s="196"/>
      <c r="C32" s="197"/>
      <c r="D32" s="195"/>
    </row>
    <row r="33" spans="2:4">
      <c r="B33" s="196"/>
      <c r="C33" s="155"/>
      <c r="D33" s="195"/>
    </row>
    <row r="34" spans="2:4">
      <c r="B34" s="154"/>
      <c r="C34" s="155"/>
      <c r="D34" s="154"/>
    </row>
    <row r="35" spans="2:4">
      <c r="B35" s="154"/>
      <c r="C35" s="155"/>
      <c r="D35" s="154"/>
    </row>
    <row r="36" spans="2:4">
      <c r="B36" s="154"/>
      <c r="C36" s="154"/>
      <c r="D36" s="154"/>
    </row>
  </sheetData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zoomScale="80" zoomScaleNormal="80" workbookViewId="0">
      <selection activeCell="B1" sqref="B1:H1"/>
    </sheetView>
  </sheetViews>
  <sheetFormatPr defaultColWidth="8.7109375" defaultRowHeight="15"/>
  <cols>
    <col min="1" max="1" width="1.42578125" style="2" customWidth="1"/>
    <col min="2" max="2" width="57.7109375" style="2" customWidth="1"/>
    <col min="3" max="3" width="9.28515625" style="2" customWidth="1"/>
    <col min="4" max="4" width="12.140625" style="2" bestFit="1" customWidth="1"/>
    <col min="5" max="5" width="10.42578125" style="2" customWidth="1"/>
    <col min="6" max="6" width="4.7109375" style="2" customWidth="1"/>
    <col min="7" max="8" width="10.7109375" style="2" customWidth="1"/>
    <col min="9" max="16384" width="8.7109375" style="2"/>
  </cols>
  <sheetData>
    <row r="1" spans="2:8" s="85" customFormat="1" ht="18.75">
      <c r="B1" s="206" t="s">
        <v>98</v>
      </c>
      <c r="C1" s="206"/>
      <c r="D1" s="206"/>
      <c r="E1" s="206"/>
      <c r="F1" s="206"/>
      <c r="G1" s="206"/>
      <c r="H1" s="206"/>
    </row>
    <row r="2" spans="2:8">
      <c r="D2" s="84"/>
      <c r="E2" s="84"/>
      <c r="F2" s="84"/>
    </row>
    <row r="3" spans="2:8">
      <c r="B3" s="83"/>
      <c r="G3" s="82" t="s">
        <v>97</v>
      </c>
      <c r="H3" s="81"/>
    </row>
    <row r="4" spans="2:8">
      <c r="B4" s="80" t="s">
        <v>68</v>
      </c>
      <c r="C4" s="80" t="s">
        <v>27</v>
      </c>
      <c r="D4" s="79">
        <v>2030</v>
      </c>
      <c r="E4" s="79">
        <v>2040</v>
      </c>
      <c r="G4" s="79">
        <v>2030</v>
      </c>
      <c r="H4" s="79">
        <v>2040</v>
      </c>
    </row>
    <row r="5" spans="2:8">
      <c r="B5" s="2" t="s">
        <v>96</v>
      </c>
      <c r="C5" s="2" t="s">
        <v>92</v>
      </c>
      <c r="D5" s="76">
        <v>11.789374634015887</v>
      </c>
      <c r="E5" s="76">
        <v>5.117240233702895</v>
      </c>
      <c r="G5" s="75">
        <f>ROUND(D5,0)</f>
        <v>12</v>
      </c>
      <c r="H5" s="75">
        <f>ROUND(E5,0)</f>
        <v>5</v>
      </c>
    </row>
    <row r="6" spans="2:8">
      <c r="B6" s="2" t="s">
        <v>95</v>
      </c>
      <c r="C6" s="2" t="s">
        <v>92</v>
      </c>
      <c r="D6" s="78">
        <v>21.551883544091019</v>
      </c>
      <c r="E6" s="78">
        <v>7.0686769018159037</v>
      </c>
      <c r="G6" s="75">
        <f>ROUND(D6,0)</f>
        <v>22</v>
      </c>
      <c r="H6" s="75">
        <f>ROUND(E6,0)</f>
        <v>7</v>
      </c>
    </row>
    <row r="7" spans="2:8">
      <c r="B7" s="2" t="s">
        <v>94</v>
      </c>
      <c r="C7" s="2" t="s">
        <v>86</v>
      </c>
      <c r="D7" s="76">
        <v>45.441621278799012</v>
      </c>
      <c r="E7" s="76">
        <v>452.94880552940839</v>
      </c>
      <c r="G7" s="75">
        <f>ROUND(D7,0)</f>
        <v>45</v>
      </c>
      <c r="H7" s="75">
        <f>ROUND(E7,-1)</f>
        <v>450</v>
      </c>
    </row>
    <row r="8" spans="2:8">
      <c r="B8" s="2" t="s">
        <v>93</v>
      </c>
      <c r="C8" s="2" t="s">
        <v>92</v>
      </c>
      <c r="D8" s="76">
        <v>570.18680724315891</v>
      </c>
      <c r="E8" s="76">
        <v>1996.6152964931418</v>
      </c>
      <c r="G8" s="75">
        <f>ROUND(D8,0)</f>
        <v>570</v>
      </c>
      <c r="H8" s="75">
        <f>ROUND(E8,-2)</f>
        <v>2000</v>
      </c>
    </row>
    <row r="9" spans="2:8">
      <c r="B9" s="2" t="s">
        <v>91</v>
      </c>
      <c r="C9" s="2" t="s">
        <v>30</v>
      </c>
      <c r="D9" s="77">
        <v>6.9035030639944039E-2</v>
      </c>
      <c r="E9" s="77">
        <v>0.31883128898092661</v>
      </c>
      <c r="G9" s="72">
        <f>ROUND(D9,2)</f>
        <v>7.0000000000000007E-2</v>
      </c>
      <c r="H9" s="72">
        <f>ROUND(E9,2)</f>
        <v>0.32</v>
      </c>
    </row>
    <row r="10" spans="2:8">
      <c r="B10" s="2" t="s">
        <v>90</v>
      </c>
      <c r="C10" s="2" t="s">
        <v>71</v>
      </c>
      <c r="D10" s="76">
        <v>31.105590072025873</v>
      </c>
      <c r="E10" s="76">
        <v>120.45622521361611</v>
      </c>
      <c r="G10" s="75">
        <f>ROUND(D10,-1)</f>
        <v>30</v>
      </c>
      <c r="H10" s="75">
        <f>ROUND(E10,-1)</f>
        <v>120</v>
      </c>
    </row>
    <row r="11" spans="2:8">
      <c r="B11" s="2" t="s">
        <v>89</v>
      </c>
      <c r="C11" s="2" t="s">
        <v>88</v>
      </c>
      <c r="D11" s="76">
        <v>2.4963926450324458</v>
      </c>
      <c r="E11" s="76">
        <v>11.439306841178011</v>
      </c>
      <c r="G11" s="75">
        <f>ROUND(D11,0)</f>
        <v>2</v>
      </c>
      <c r="H11" s="75">
        <f>ROUND(E11,0)</f>
        <v>11</v>
      </c>
    </row>
    <row r="12" spans="2:8">
      <c r="B12" s="2" t="s">
        <v>87</v>
      </c>
      <c r="C12" s="2" t="s">
        <v>86</v>
      </c>
      <c r="D12" s="76">
        <v>249.63926450324456</v>
      </c>
      <c r="E12" s="76">
        <v>2557.9067712352426</v>
      </c>
      <c r="G12" s="75">
        <f>ROUND(D12,-1)</f>
        <v>250</v>
      </c>
      <c r="H12" s="75">
        <f>ROUND(E12,-1)</f>
        <v>2560</v>
      </c>
    </row>
    <row r="13" spans="2:8">
      <c r="B13" s="2" t="s">
        <v>85</v>
      </c>
      <c r="C13" s="2" t="s">
        <v>30</v>
      </c>
      <c r="D13" s="74">
        <v>0.33389082090350369</v>
      </c>
      <c r="E13" s="73">
        <v>0.62585281443662477</v>
      </c>
      <c r="G13" s="72">
        <f>ROUND(D13,2)</f>
        <v>0.33</v>
      </c>
      <c r="H13" s="72">
        <f>ROUND(E13,2)</f>
        <v>0.63</v>
      </c>
    </row>
    <row r="14" spans="2:8">
      <c r="G14" s="71"/>
      <c r="H14" s="71"/>
    </row>
    <row r="15" spans="2:8">
      <c r="G15" s="70"/>
      <c r="H15" s="70"/>
    </row>
    <row r="17" spans="7:8">
      <c r="G17" s="69"/>
      <c r="H17" s="69"/>
    </row>
  </sheetData>
  <mergeCells count="1">
    <mergeCell ref="B1:H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zoomScale="80" zoomScaleNormal="80" workbookViewId="0">
      <selection activeCell="B1" sqref="B1"/>
    </sheetView>
  </sheetViews>
  <sheetFormatPr defaultRowHeight="15"/>
  <cols>
    <col min="1" max="1" width="2.28515625" customWidth="1"/>
    <col min="2" max="2" width="31" customWidth="1"/>
    <col min="3" max="3" width="22.140625" customWidth="1"/>
    <col min="4" max="10" width="9.7109375" customWidth="1"/>
  </cols>
  <sheetData>
    <row r="1" spans="2:10" ht="18.75">
      <c r="B1" s="116" t="s">
        <v>137</v>
      </c>
      <c r="C1" s="116"/>
      <c r="D1" s="116"/>
      <c r="E1" s="116"/>
      <c r="F1" s="116"/>
      <c r="G1" s="116"/>
      <c r="H1" s="116"/>
      <c r="I1" s="116"/>
      <c r="J1" s="116"/>
    </row>
    <row r="3" spans="2:10">
      <c r="B3" s="79" t="s">
        <v>68</v>
      </c>
      <c r="C3" s="79" t="s">
        <v>27</v>
      </c>
      <c r="D3" s="79">
        <v>2020</v>
      </c>
      <c r="E3" s="79">
        <v>2025</v>
      </c>
      <c r="F3" s="79">
        <v>2030</v>
      </c>
      <c r="G3" s="79">
        <v>2035</v>
      </c>
      <c r="H3" s="79">
        <v>2040</v>
      </c>
      <c r="I3" s="79">
        <v>2045</v>
      </c>
      <c r="J3" s="79">
        <v>2050</v>
      </c>
    </row>
    <row r="4" spans="2:10">
      <c r="B4" t="s">
        <v>136</v>
      </c>
      <c r="C4" t="s">
        <v>134</v>
      </c>
      <c r="D4" s="76">
        <v>2.7323993745118295E-2</v>
      </c>
      <c r="E4" s="76">
        <v>0.3201194015204567</v>
      </c>
      <c r="F4" s="76">
        <v>1.1924941104986704</v>
      </c>
      <c r="G4" s="76">
        <v>1.8423208058404408</v>
      </c>
      <c r="H4" s="76">
        <v>3.1280098702850379</v>
      </c>
      <c r="I4" s="76">
        <v>5.2556952015349978</v>
      </c>
      <c r="J4" s="76">
        <v>8.034078846035813</v>
      </c>
    </row>
    <row r="5" spans="2:10">
      <c r="B5" t="s">
        <v>135</v>
      </c>
      <c r="C5" t="s">
        <v>134</v>
      </c>
      <c r="D5" s="76">
        <v>1.1837045760917731E-2</v>
      </c>
      <c r="E5" s="76">
        <v>4.839182364277346E-2</v>
      </c>
      <c r="F5" s="76">
        <v>0.11081596706611373</v>
      </c>
      <c r="G5" s="76">
        <v>0.1489490537852301</v>
      </c>
      <c r="H5" s="76">
        <v>0.21140685595289366</v>
      </c>
      <c r="I5" s="76">
        <v>0.3175903259931564</v>
      </c>
      <c r="J5" s="76">
        <v>0.4767672426754882</v>
      </c>
    </row>
    <row r="6" spans="2:10">
      <c r="B6" t="s">
        <v>133</v>
      </c>
      <c r="C6" t="s">
        <v>132</v>
      </c>
      <c r="D6" s="115">
        <v>250</v>
      </c>
      <c r="E6" s="115">
        <v>1454.862740755703</v>
      </c>
      <c r="F6" s="115">
        <v>3738.6899937389221</v>
      </c>
      <c r="G6" s="115">
        <v>8540.7700842425093</v>
      </c>
      <c r="H6" s="115">
        <v>14871.587961915047</v>
      </c>
      <c r="I6" s="115">
        <v>22857.102044626372</v>
      </c>
      <c r="J6" s="115">
        <v>33351.399698940215</v>
      </c>
    </row>
    <row r="7" spans="2:10">
      <c r="D7" s="88"/>
      <c r="E7" s="88"/>
      <c r="F7" s="88"/>
      <c r="G7" s="88"/>
      <c r="H7" s="88"/>
      <c r="I7" s="88"/>
      <c r="J7" s="88"/>
    </row>
    <row r="8" spans="2:10">
      <c r="B8" t="s">
        <v>131</v>
      </c>
      <c r="C8" t="s">
        <v>130</v>
      </c>
      <c r="D8" s="115">
        <v>342.45735915323496</v>
      </c>
      <c r="E8" s="115">
        <v>3455.8834995476345</v>
      </c>
      <c r="F8" s="115">
        <v>8160.567640693067</v>
      </c>
      <c r="G8" s="115">
        <v>17036.948016435119</v>
      </c>
      <c r="H8" s="115">
        <v>27542.899702184463</v>
      </c>
      <c r="I8" s="115">
        <v>39447.153007629859</v>
      </c>
      <c r="J8" s="115">
        <v>53509.511864410422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46" zoomScale="80" zoomScaleNormal="80" workbookViewId="0">
      <selection activeCell="B1" sqref="B1:O1"/>
    </sheetView>
  </sheetViews>
  <sheetFormatPr defaultRowHeight="15"/>
  <cols>
    <col min="1" max="1" width="1.42578125" customWidth="1"/>
    <col min="2" max="2" width="3" bestFit="1" customWidth="1"/>
    <col min="3" max="3" width="26.140625" customWidth="1"/>
    <col min="4" max="4" width="6.140625" customWidth="1"/>
    <col min="13" max="13" width="5.42578125" customWidth="1"/>
    <col min="14" max="15" width="9.42578125" customWidth="1"/>
  </cols>
  <sheetData>
    <row r="1" spans="1:15" ht="18.75">
      <c r="A1" s="114"/>
      <c r="B1" s="206" t="s">
        <v>129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3" spans="1:15">
      <c r="B3" s="79"/>
      <c r="C3" s="79" t="s">
        <v>128</v>
      </c>
      <c r="D3" s="79" t="s">
        <v>27</v>
      </c>
      <c r="E3" s="79">
        <v>2015</v>
      </c>
      <c r="F3" s="79">
        <v>2020</v>
      </c>
      <c r="G3" s="79">
        <v>2025</v>
      </c>
      <c r="H3" s="79">
        <v>2030</v>
      </c>
      <c r="I3" s="79">
        <v>2035</v>
      </c>
      <c r="J3" s="79">
        <v>2040</v>
      </c>
      <c r="K3" s="79">
        <v>2045</v>
      </c>
      <c r="L3" s="79">
        <v>2050</v>
      </c>
      <c r="M3" s="79"/>
      <c r="N3" s="79">
        <v>2030</v>
      </c>
      <c r="O3" s="79">
        <v>2050</v>
      </c>
    </row>
    <row r="4" spans="1:15" s="94" customFormat="1">
      <c r="B4" s="109"/>
      <c r="C4" s="110" t="s">
        <v>127</v>
      </c>
      <c r="D4" s="110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>
      <c r="B5" s="98">
        <v>4</v>
      </c>
      <c r="C5" s="97" t="s">
        <v>57</v>
      </c>
      <c r="D5" s="97" t="s">
        <v>88</v>
      </c>
      <c r="E5" s="202">
        <f t="shared" ref="E5:L5" si="0">SUM(E6:E17)</f>
        <v>0</v>
      </c>
      <c r="F5" s="202">
        <f t="shared" si="0"/>
        <v>2.604892636938291E-2</v>
      </c>
      <c r="G5" s="202">
        <f t="shared" si="0"/>
        <v>0.75577041656946164</v>
      </c>
      <c r="H5" s="202">
        <f t="shared" si="0"/>
        <v>4.2430080776582457</v>
      </c>
      <c r="I5" s="202">
        <f t="shared" si="0"/>
        <v>11.316418984603931</v>
      </c>
      <c r="J5" s="202">
        <f t="shared" si="0"/>
        <v>21.302198986236249</v>
      </c>
      <c r="K5" s="202">
        <f t="shared" si="0"/>
        <v>33.787139866605841</v>
      </c>
      <c r="L5" s="202">
        <f t="shared" si="0"/>
        <v>52.683846706042807</v>
      </c>
      <c r="M5" s="76"/>
      <c r="N5" s="204">
        <f t="shared" ref="N5:N17" si="1">H5</f>
        <v>4.2430080776582457</v>
      </c>
      <c r="O5" s="204">
        <f t="shared" ref="O5:O17" si="2">L5</f>
        <v>52.683846706042807</v>
      </c>
    </row>
    <row r="6" spans="1:15">
      <c r="B6" s="107">
        <v>4</v>
      </c>
      <c r="C6" s="31" t="s">
        <v>123</v>
      </c>
      <c r="D6" s="31" t="s">
        <v>88</v>
      </c>
      <c r="E6" s="76">
        <f>'[3]EU Model'!AC44</f>
        <v>0</v>
      </c>
      <c r="F6" s="76">
        <v>1.8093189510320039E-3</v>
      </c>
      <c r="G6" s="76">
        <v>5.5722657939209219E-2</v>
      </c>
      <c r="H6" s="76">
        <v>0.4361581607329108</v>
      </c>
      <c r="I6" s="76">
        <v>1.4263412212505795</v>
      </c>
      <c r="J6" s="76">
        <v>3.2196082474332184</v>
      </c>
      <c r="K6" s="76">
        <v>5.3389660332577282</v>
      </c>
      <c r="L6" s="76">
        <v>8.5780104315457351</v>
      </c>
      <c r="M6" s="76"/>
      <c r="N6" s="204">
        <f t="shared" si="1"/>
        <v>0.4361581607329108</v>
      </c>
      <c r="O6" s="204">
        <f t="shared" si="2"/>
        <v>8.5780104315457351</v>
      </c>
    </row>
    <row r="7" spans="1:15">
      <c r="B7" s="107">
        <v>4</v>
      </c>
      <c r="C7" s="31" t="s">
        <v>122</v>
      </c>
      <c r="D7" s="31" t="s">
        <v>88</v>
      </c>
      <c r="E7" s="76">
        <f>'[3]EU Model'!AC45</f>
        <v>0</v>
      </c>
      <c r="F7" s="76">
        <v>1.3327382962817555E-2</v>
      </c>
      <c r="G7" s="76">
        <v>0.44673925988673219</v>
      </c>
      <c r="H7" s="76">
        <v>2.52124933576017</v>
      </c>
      <c r="I7" s="76">
        <v>6.7076368156455954</v>
      </c>
      <c r="J7" s="76">
        <v>12.393388295320715</v>
      </c>
      <c r="K7" s="76">
        <v>19.406678927313443</v>
      </c>
      <c r="L7" s="76">
        <v>29.950770311408899</v>
      </c>
      <c r="M7" s="76"/>
      <c r="N7" s="204">
        <f t="shared" si="1"/>
        <v>2.52124933576017</v>
      </c>
      <c r="O7" s="204">
        <f t="shared" si="2"/>
        <v>29.950770311408899</v>
      </c>
    </row>
    <row r="8" spans="1:15">
      <c r="B8" s="107">
        <v>4</v>
      </c>
      <c r="C8" s="31" t="s">
        <v>121</v>
      </c>
      <c r="D8" s="31" t="s">
        <v>88</v>
      </c>
      <c r="E8" s="76">
        <f>'[3]EU Model'!AC46</f>
        <v>0</v>
      </c>
      <c r="F8" s="76">
        <v>9.3034395354340443E-4</v>
      </c>
      <c r="G8" s="76">
        <v>4.3423354665367953E-2</v>
      </c>
      <c r="H8" s="76">
        <v>0.29796879445042901</v>
      </c>
      <c r="I8" s="76">
        <v>0.83311993906006199</v>
      </c>
      <c r="J8" s="76">
        <v>1.540561406507972</v>
      </c>
      <c r="K8" s="76">
        <v>2.3645785729800184</v>
      </c>
      <c r="L8" s="76">
        <v>3.6267323598687051</v>
      </c>
      <c r="M8" s="76"/>
      <c r="N8" s="204">
        <f t="shared" si="1"/>
        <v>0.29796879445042901</v>
      </c>
      <c r="O8" s="204">
        <f t="shared" si="2"/>
        <v>3.6267323598687051</v>
      </c>
    </row>
    <row r="9" spans="1:15">
      <c r="B9" s="107">
        <v>4</v>
      </c>
      <c r="C9" s="31" t="s">
        <v>110</v>
      </c>
      <c r="D9" s="31" t="s">
        <v>88</v>
      </c>
      <c r="E9" s="76">
        <f>'[3]EU Model'!AC47</f>
        <v>0</v>
      </c>
      <c r="F9" s="76">
        <v>5.9779079626173749E-3</v>
      </c>
      <c r="G9" s="76">
        <v>0.11854431471329185</v>
      </c>
      <c r="H9" s="76">
        <v>0.45775968130663475</v>
      </c>
      <c r="I9" s="76">
        <v>0.87864106137861719</v>
      </c>
      <c r="J9" s="76">
        <v>1.246980057401422</v>
      </c>
      <c r="K9" s="76">
        <v>1.6404978092407745</v>
      </c>
      <c r="L9" s="76">
        <v>2.0993009408363936</v>
      </c>
      <c r="M9" s="76"/>
      <c r="N9" s="204">
        <f t="shared" si="1"/>
        <v>0.45775968130663475</v>
      </c>
      <c r="O9" s="204">
        <f t="shared" si="2"/>
        <v>2.0993009408363936</v>
      </c>
    </row>
    <row r="10" spans="1:15">
      <c r="B10" s="107">
        <v>4</v>
      </c>
      <c r="C10" s="31" t="s">
        <v>54</v>
      </c>
      <c r="D10" s="31" t="s">
        <v>88</v>
      </c>
      <c r="E10" s="76">
        <f>'[3]EU Model'!AC48</f>
        <v>0</v>
      </c>
      <c r="F10" s="76">
        <v>3.6520615826465103E-3</v>
      </c>
      <c r="G10" s="76">
        <v>8.3570810915835653E-2</v>
      </c>
      <c r="H10" s="76">
        <v>0.48443314843063934</v>
      </c>
      <c r="I10" s="76">
        <v>1.31390840041517</v>
      </c>
      <c r="J10" s="76">
        <v>2.4487438157202877</v>
      </c>
      <c r="K10" s="76">
        <v>3.9835583669993624</v>
      </c>
      <c r="L10" s="76">
        <v>6.4730586529246459</v>
      </c>
      <c r="M10" s="76"/>
      <c r="N10" s="204">
        <f t="shared" si="1"/>
        <v>0.48443314843063934</v>
      </c>
      <c r="O10" s="204">
        <f t="shared" si="2"/>
        <v>6.4730586529246459</v>
      </c>
    </row>
    <row r="11" spans="1:15">
      <c r="B11" s="107">
        <v>4</v>
      </c>
      <c r="C11" s="31" t="s">
        <v>120</v>
      </c>
      <c r="D11" s="31" t="s">
        <v>88</v>
      </c>
      <c r="E11" s="76">
        <f>'[3]EU Model'!AC50</f>
        <v>0</v>
      </c>
      <c r="F11" s="76">
        <v>2.4212709450645191E-5</v>
      </c>
      <c r="G11" s="76">
        <v>5.2545238954037319E-4</v>
      </c>
      <c r="H11" s="76">
        <v>2.7952698284339356E-3</v>
      </c>
      <c r="I11" s="76">
        <v>8.5070340898922951E-3</v>
      </c>
      <c r="J11" s="76">
        <v>1.8446660756514396E-2</v>
      </c>
      <c r="K11" s="76">
        <v>3.4594982531260102E-2</v>
      </c>
      <c r="L11" s="76">
        <v>6.0837041239091581E-2</v>
      </c>
      <c r="M11" s="76"/>
      <c r="N11" s="204">
        <f t="shared" si="1"/>
        <v>2.7952698284339356E-3</v>
      </c>
      <c r="O11" s="204">
        <f t="shared" si="2"/>
        <v>6.0837041239091581E-2</v>
      </c>
    </row>
    <row r="12" spans="1:15">
      <c r="B12" s="107">
        <v>4</v>
      </c>
      <c r="C12" s="31" t="s">
        <v>119</v>
      </c>
      <c r="D12" s="31" t="s">
        <v>88</v>
      </c>
      <c r="E12" s="76">
        <f>'[3]EU Model'!AC51</f>
        <v>0</v>
      </c>
      <c r="F12" s="76">
        <v>1.2734899262546891E-4</v>
      </c>
      <c r="G12" s="76">
        <v>1.3685614288135597E-3</v>
      </c>
      <c r="H12" s="76">
        <v>4.0313290646363138E-3</v>
      </c>
      <c r="I12" s="76">
        <v>8.3992266922771428E-3</v>
      </c>
      <c r="J12" s="76">
        <v>1.3963293742631536E-2</v>
      </c>
      <c r="K12" s="76">
        <v>2.1126437450746268E-2</v>
      </c>
      <c r="L12" s="76">
        <v>3.0642545544522521E-2</v>
      </c>
      <c r="M12" s="76"/>
      <c r="N12" s="204">
        <f t="shared" si="1"/>
        <v>4.0313290646363138E-3</v>
      </c>
      <c r="O12" s="204">
        <f t="shared" si="2"/>
        <v>3.0642545544522521E-2</v>
      </c>
    </row>
    <row r="13" spans="1:15">
      <c r="B13" s="107">
        <v>4</v>
      </c>
      <c r="C13" s="31" t="s">
        <v>118</v>
      </c>
      <c r="D13" s="31" t="s">
        <v>88</v>
      </c>
      <c r="E13" s="76">
        <f>'[3]EU Model'!AC52</f>
        <v>0</v>
      </c>
      <c r="F13" s="76">
        <v>9.7757471881445803E-5</v>
      </c>
      <c r="G13" s="76">
        <v>1.9376430273638562E-3</v>
      </c>
      <c r="H13" s="76">
        <v>9.7861500248835245E-3</v>
      </c>
      <c r="I13" s="76">
        <v>2.8429675409295859E-2</v>
      </c>
      <c r="J13" s="76">
        <v>5.8250627601572055E-2</v>
      </c>
      <c r="K13" s="76">
        <v>0.10110913974535868</v>
      </c>
      <c r="L13" s="76">
        <v>0.16203896741335672</v>
      </c>
      <c r="M13" s="76"/>
      <c r="N13" s="204">
        <f t="shared" si="1"/>
        <v>9.7861500248835245E-3</v>
      </c>
      <c r="O13" s="204">
        <f t="shared" si="2"/>
        <v>0.16203896741335672</v>
      </c>
    </row>
    <row r="14" spans="1:15" s="86" customFormat="1">
      <c r="B14" s="107">
        <v>4</v>
      </c>
      <c r="C14" s="31" t="s">
        <v>117</v>
      </c>
      <c r="D14" s="31" t="s">
        <v>88</v>
      </c>
      <c r="E14" s="76">
        <f>'[3]EU Model'!AC54</f>
        <v>0</v>
      </c>
      <c r="F14" s="76">
        <v>6.4725812764692979E-5</v>
      </c>
      <c r="G14" s="76">
        <v>2.6061030266762934E-3</v>
      </c>
      <c r="H14" s="76">
        <v>1.9792970082240912E-2</v>
      </c>
      <c r="I14" s="76">
        <v>7.6896017300246006E-2</v>
      </c>
      <c r="J14" s="76">
        <v>0.24412160013786705</v>
      </c>
      <c r="K14" s="76">
        <v>0.59956729538326581</v>
      </c>
      <c r="L14" s="76">
        <v>1.1405064526285726</v>
      </c>
      <c r="M14" s="76"/>
      <c r="N14" s="204">
        <f t="shared" si="1"/>
        <v>1.9792970082240912E-2</v>
      </c>
      <c r="O14" s="204">
        <f t="shared" si="2"/>
        <v>1.1405064526285726</v>
      </c>
    </row>
    <row r="15" spans="1:15">
      <c r="B15" s="107">
        <v>4</v>
      </c>
      <c r="C15" s="31" t="s">
        <v>116</v>
      </c>
      <c r="D15" s="31" t="s">
        <v>88</v>
      </c>
      <c r="E15" s="76">
        <f>'[3]EU Model'!AC55</f>
        <v>0</v>
      </c>
      <c r="F15" s="76">
        <v>1.2445458672579198E-5</v>
      </c>
      <c r="G15" s="76">
        <v>4.9306833063838943E-4</v>
      </c>
      <c r="H15" s="76">
        <v>3.3437906411751296E-3</v>
      </c>
      <c r="I15" s="76">
        <v>1.224003307769579E-2</v>
      </c>
      <c r="J15" s="76">
        <v>3.8978373624929723E-2</v>
      </c>
      <c r="K15" s="76">
        <v>9.5226231117216342E-2</v>
      </c>
      <c r="L15" s="76">
        <v>0.17628797292637241</v>
      </c>
      <c r="M15" s="76"/>
      <c r="N15" s="204">
        <f t="shared" si="1"/>
        <v>3.3437906411751296E-3</v>
      </c>
      <c r="O15" s="204">
        <f t="shared" si="2"/>
        <v>0.17628797292637241</v>
      </c>
    </row>
    <row r="16" spans="1:15">
      <c r="B16" s="107">
        <v>4</v>
      </c>
      <c r="C16" s="31" t="s">
        <v>115</v>
      </c>
      <c r="D16" s="31" t="s">
        <v>88</v>
      </c>
      <c r="E16" s="76">
        <f>'[3]EU Model'!AC56</f>
        <v>0</v>
      </c>
      <c r="F16" s="76">
        <v>2.5420511331225646E-5</v>
      </c>
      <c r="G16" s="76">
        <v>8.3919024599230581E-4</v>
      </c>
      <c r="H16" s="76">
        <v>5.6894473360922767E-3</v>
      </c>
      <c r="I16" s="76">
        <v>2.2299560284501398E-2</v>
      </c>
      <c r="J16" s="76">
        <v>7.9156607989120081E-2</v>
      </c>
      <c r="K16" s="76">
        <v>0.20123607058666354</v>
      </c>
      <c r="L16" s="76">
        <v>0.38566102970650257</v>
      </c>
      <c r="M16" s="76"/>
      <c r="N16" s="204">
        <f t="shared" si="1"/>
        <v>5.6894473360922767E-3</v>
      </c>
      <c r="O16" s="204">
        <f t="shared" si="2"/>
        <v>0.38566102970650257</v>
      </c>
    </row>
    <row r="17" spans="2:15">
      <c r="B17" s="107">
        <v>4</v>
      </c>
      <c r="C17" s="31" t="s">
        <v>114</v>
      </c>
      <c r="D17" s="31" t="s">
        <v>88</v>
      </c>
      <c r="E17" s="76">
        <f>'[3]EU Model'!AC57</f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/>
      <c r="N17" s="204">
        <f t="shared" si="1"/>
        <v>0</v>
      </c>
      <c r="O17" s="204">
        <f t="shared" si="2"/>
        <v>0</v>
      </c>
    </row>
    <row r="18" spans="2:15">
      <c r="B18" s="107"/>
      <c r="E18" s="106"/>
      <c r="F18" s="106"/>
      <c r="G18" s="106"/>
      <c r="H18" s="106"/>
      <c r="I18" s="106"/>
      <c r="J18" s="106"/>
      <c r="K18" s="106"/>
      <c r="L18" s="106"/>
      <c r="N18" s="96"/>
      <c r="O18" s="96"/>
    </row>
    <row r="19" spans="2:15" s="85" customFormat="1">
      <c r="B19" s="23" t="s">
        <v>29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13"/>
      <c r="N19" s="96"/>
      <c r="O19" s="96"/>
    </row>
    <row r="20" spans="2:15" s="85" customFormat="1">
      <c r="B20" s="98">
        <v>4</v>
      </c>
      <c r="C20" s="97" t="s">
        <v>57</v>
      </c>
      <c r="D20" s="97" t="s">
        <v>88</v>
      </c>
      <c r="E20" s="202">
        <f t="shared" ref="E20:L20" si="3">E5</f>
        <v>0</v>
      </c>
      <c r="F20" s="202">
        <f t="shared" si="3"/>
        <v>2.604892636938291E-2</v>
      </c>
      <c r="G20" s="202">
        <f t="shared" si="3"/>
        <v>0.75577041656946164</v>
      </c>
      <c r="H20" s="202">
        <f t="shared" si="3"/>
        <v>4.2430080776582457</v>
      </c>
      <c r="I20" s="202">
        <f t="shared" si="3"/>
        <v>11.316418984603931</v>
      </c>
      <c r="J20" s="202">
        <f t="shared" si="3"/>
        <v>21.302198986236249</v>
      </c>
      <c r="K20" s="202">
        <f t="shared" si="3"/>
        <v>33.787139866605841</v>
      </c>
      <c r="L20" s="202">
        <f t="shared" si="3"/>
        <v>52.683846706042807</v>
      </c>
      <c r="N20" s="203">
        <f t="shared" ref="N20:N27" si="4">H20</f>
        <v>4.2430080776582457</v>
      </c>
      <c r="O20" s="203">
        <f t="shared" ref="O20:O27" si="5">L20</f>
        <v>52.683846706042807</v>
      </c>
    </row>
    <row r="21" spans="2:15" s="85" customFormat="1">
      <c r="B21" s="98">
        <v>4</v>
      </c>
      <c r="C21" s="97" t="s">
        <v>113</v>
      </c>
      <c r="D21" s="97" t="s">
        <v>88</v>
      </c>
      <c r="E21" s="202">
        <f t="shared" ref="E21:L21" si="6">SUM(E6:E9)</f>
        <v>0</v>
      </c>
      <c r="F21" s="202">
        <f t="shared" si="6"/>
        <v>2.2044953830010341E-2</v>
      </c>
      <c r="G21" s="202">
        <f t="shared" si="6"/>
        <v>0.66442958720460121</v>
      </c>
      <c r="H21" s="202">
        <f t="shared" si="6"/>
        <v>3.7131359722501447</v>
      </c>
      <c r="I21" s="202">
        <f t="shared" si="6"/>
        <v>9.8457390373348534</v>
      </c>
      <c r="J21" s="202">
        <f t="shared" si="6"/>
        <v>18.400538006663329</v>
      </c>
      <c r="K21" s="202">
        <f t="shared" si="6"/>
        <v>28.750721342791962</v>
      </c>
      <c r="L21" s="202">
        <f t="shared" si="6"/>
        <v>44.254814043659735</v>
      </c>
      <c r="N21" s="203">
        <f t="shared" si="4"/>
        <v>3.7131359722501447</v>
      </c>
      <c r="O21" s="203">
        <f t="shared" si="5"/>
        <v>44.254814043659735</v>
      </c>
    </row>
    <row r="22" spans="2:15">
      <c r="B22" s="103">
        <v>4</v>
      </c>
      <c r="C22" s="102" t="s">
        <v>112</v>
      </c>
      <c r="D22" s="102" t="s">
        <v>88</v>
      </c>
      <c r="E22" s="76">
        <f t="shared" ref="E22:L22" si="7">E6</f>
        <v>0</v>
      </c>
      <c r="F22" s="76">
        <f t="shared" si="7"/>
        <v>1.8093189510320039E-3</v>
      </c>
      <c r="G22" s="76">
        <f t="shared" si="7"/>
        <v>5.5722657939209219E-2</v>
      </c>
      <c r="H22" s="76">
        <f t="shared" si="7"/>
        <v>0.4361581607329108</v>
      </c>
      <c r="I22" s="76">
        <f t="shared" si="7"/>
        <v>1.4263412212505795</v>
      </c>
      <c r="J22" s="76">
        <f t="shared" si="7"/>
        <v>3.2196082474332184</v>
      </c>
      <c r="K22" s="76">
        <f t="shared" si="7"/>
        <v>5.3389660332577282</v>
      </c>
      <c r="L22" s="76">
        <f t="shared" si="7"/>
        <v>8.5780104315457351</v>
      </c>
      <c r="N22" s="204">
        <f t="shared" si="4"/>
        <v>0.4361581607329108</v>
      </c>
      <c r="O22" s="204">
        <f t="shared" si="5"/>
        <v>8.5780104315457351</v>
      </c>
    </row>
    <row r="23" spans="2:15">
      <c r="B23" s="103">
        <v>4</v>
      </c>
      <c r="C23" s="102" t="s">
        <v>111</v>
      </c>
      <c r="D23" s="102" t="s">
        <v>88</v>
      </c>
      <c r="E23" s="76">
        <f t="shared" ref="E23:L23" si="8">SUM(E7:E8)</f>
        <v>0</v>
      </c>
      <c r="F23" s="76">
        <f t="shared" si="8"/>
        <v>1.4257726916360959E-2</v>
      </c>
      <c r="G23" s="76">
        <f t="shared" si="8"/>
        <v>0.49016261455210014</v>
      </c>
      <c r="H23" s="76">
        <f t="shared" si="8"/>
        <v>2.819218130210599</v>
      </c>
      <c r="I23" s="76">
        <f t="shared" si="8"/>
        <v>7.5407567547056571</v>
      </c>
      <c r="J23" s="76">
        <f t="shared" si="8"/>
        <v>13.933949701828688</v>
      </c>
      <c r="K23" s="76">
        <f t="shared" si="8"/>
        <v>21.771257500293462</v>
      </c>
      <c r="L23" s="76">
        <f t="shared" si="8"/>
        <v>33.577502671277607</v>
      </c>
      <c r="N23" s="204">
        <f t="shared" si="4"/>
        <v>2.819218130210599</v>
      </c>
      <c r="O23" s="204">
        <f t="shared" si="5"/>
        <v>33.577502671277607</v>
      </c>
    </row>
    <row r="24" spans="2:15">
      <c r="B24" s="103">
        <v>4</v>
      </c>
      <c r="C24" s="102" t="s">
        <v>110</v>
      </c>
      <c r="D24" s="102" t="s">
        <v>88</v>
      </c>
      <c r="E24" s="76">
        <f t="shared" ref="E24:L25" si="9">E9</f>
        <v>0</v>
      </c>
      <c r="F24" s="76">
        <f t="shared" si="9"/>
        <v>5.9779079626173749E-3</v>
      </c>
      <c r="G24" s="76">
        <f t="shared" si="9"/>
        <v>0.11854431471329185</v>
      </c>
      <c r="H24" s="76">
        <f t="shared" si="9"/>
        <v>0.45775968130663475</v>
      </c>
      <c r="I24" s="76">
        <f t="shared" si="9"/>
        <v>0.87864106137861719</v>
      </c>
      <c r="J24" s="76">
        <f t="shared" si="9"/>
        <v>1.246980057401422</v>
      </c>
      <c r="K24" s="76">
        <f t="shared" si="9"/>
        <v>1.6404978092407745</v>
      </c>
      <c r="L24" s="76">
        <f t="shared" si="9"/>
        <v>2.0993009408363936</v>
      </c>
      <c r="N24" s="204">
        <f t="shared" si="4"/>
        <v>0.45775968130663475</v>
      </c>
      <c r="O24" s="204">
        <f t="shared" si="5"/>
        <v>2.0993009408363936</v>
      </c>
    </row>
    <row r="25" spans="2:15" s="85" customFormat="1">
      <c r="B25" s="112">
        <v>4</v>
      </c>
      <c r="C25" s="105" t="s">
        <v>54</v>
      </c>
      <c r="D25" s="105" t="s">
        <v>88</v>
      </c>
      <c r="E25" s="202">
        <f t="shared" si="9"/>
        <v>0</v>
      </c>
      <c r="F25" s="202">
        <f t="shared" si="9"/>
        <v>3.6520615826465103E-3</v>
      </c>
      <c r="G25" s="202">
        <f t="shared" si="9"/>
        <v>8.3570810915835653E-2</v>
      </c>
      <c r="H25" s="202">
        <f t="shared" si="9"/>
        <v>0.48443314843063934</v>
      </c>
      <c r="I25" s="202">
        <f t="shared" si="9"/>
        <v>1.31390840041517</v>
      </c>
      <c r="J25" s="202">
        <f t="shared" si="9"/>
        <v>2.4487438157202877</v>
      </c>
      <c r="K25" s="202">
        <f t="shared" si="9"/>
        <v>3.9835583669993624</v>
      </c>
      <c r="L25" s="202">
        <f t="shared" si="9"/>
        <v>6.4730586529246459</v>
      </c>
      <c r="N25" s="203">
        <f t="shared" si="4"/>
        <v>0.48443314843063934</v>
      </c>
      <c r="O25" s="203">
        <f t="shared" si="5"/>
        <v>6.4730586529246459</v>
      </c>
    </row>
    <row r="26" spans="2:15" s="85" customFormat="1">
      <c r="B26" s="112">
        <v>4</v>
      </c>
      <c r="C26" s="105" t="s">
        <v>53</v>
      </c>
      <c r="D26" s="105" t="s">
        <v>88</v>
      </c>
      <c r="E26" s="202">
        <f t="shared" ref="E26:L26" si="10">SUM(E11:E13)</f>
        <v>0</v>
      </c>
      <c r="F26" s="202">
        <f t="shared" si="10"/>
        <v>2.4931917395755991E-4</v>
      </c>
      <c r="G26" s="202">
        <f t="shared" si="10"/>
        <v>3.8316568457177889E-3</v>
      </c>
      <c r="H26" s="202">
        <f t="shared" si="10"/>
        <v>1.6612748917953772E-2</v>
      </c>
      <c r="I26" s="202">
        <f t="shared" si="10"/>
        <v>4.5335936191465295E-2</v>
      </c>
      <c r="J26" s="202">
        <f t="shared" si="10"/>
        <v>9.0660582100717979E-2</v>
      </c>
      <c r="K26" s="202">
        <f t="shared" si="10"/>
        <v>0.15683055972736504</v>
      </c>
      <c r="L26" s="202">
        <f t="shared" si="10"/>
        <v>0.25351855419697084</v>
      </c>
      <c r="N26" s="203">
        <f t="shared" si="4"/>
        <v>1.6612748917953772E-2</v>
      </c>
      <c r="O26" s="203">
        <f t="shared" si="5"/>
        <v>0.25351855419697084</v>
      </c>
    </row>
    <row r="27" spans="2:15" s="85" customFormat="1">
      <c r="B27" s="112">
        <v>4</v>
      </c>
      <c r="C27" s="105" t="s">
        <v>52</v>
      </c>
      <c r="D27" s="105" t="s">
        <v>88</v>
      </c>
      <c r="E27" s="202">
        <f t="shared" ref="E27:L27" si="11">SUM(E14:E17)</f>
        <v>0</v>
      </c>
      <c r="F27" s="202">
        <f t="shared" si="11"/>
        <v>1.0259178276849783E-4</v>
      </c>
      <c r="G27" s="202">
        <f t="shared" si="11"/>
        <v>3.9383616033069882E-3</v>
      </c>
      <c r="H27" s="202">
        <f t="shared" si="11"/>
        <v>2.8826208059508317E-2</v>
      </c>
      <c r="I27" s="202">
        <f t="shared" si="11"/>
        <v>0.1114356106624432</v>
      </c>
      <c r="J27" s="202">
        <f t="shared" si="11"/>
        <v>0.36225658175191688</v>
      </c>
      <c r="K27" s="202">
        <f t="shared" si="11"/>
        <v>0.89602959708714569</v>
      </c>
      <c r="L27" s="202">
        <f t="shared" si="11"/>
        <v>1.7024554552614477</v>
      </c>
      <c r="N27" s="203">
        <f t="shared" si="4"/>
        <v>2.8826208059508317E-2</v>
      </c>
      <c r="O27" s="203">
        <f t="shared" si="5"/>
        <v>1.7024554552614477</v>
      </c>
    </row>
    <row r="28" spans="2:15">
      <c r="H28" s="111"/>
    </row>
    <row r="29" spans="2:15" s="94" customFormat="1">
      <c r="B29" s="109"/>
      <c r="C29" s="110" t="s">
        <v>126</v>
      </c>
      <c r="D29" s="110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2:15">
      <c r="B30" s="98">
        <v>4</v>
      </c>
      <c r="C30" s="97" t="s">
        <v>57</v>
      </c>
      <c r="D30" s="97" t="s">
        <v>30</v>
      </c>
      <c r="E30" s="100">
        <f>'[3]EU Model'!R41</f>
        <v>0</v>
      </c>
      <c r="F30" s="100">
        <v>2.5644872398987369E-4</v>
      </c>
      <c r="G30" s="100">
        <v>3.4583347827833104E-3</v>
      </c>
      <c r="H30" s="100">
        <v>1.4069585415060419E-2</v>
      </c>
      <c r="I30" s="100">
        <v>3.4662781515472273E-2</v>
      </c>
      <c r="J30" s="100">
        <v>7.0012483069239725E-2</v>
      </c>
      <c r="K30" s="100">
        <v>0.1246005584552756</v>
      </c>
      <c r="L30" s="100">
        <v>0.20412876093664886</v>
      </c>
      <c r="N30" s="108">
        <f t="shared" ref="N30:N42" si="12">H30</f>
        <v>1.4069585415060419E-2</v>
      </c>
      <c r="O30" s="108">
        <f t="shared" ref="O30:O42" si="13">L30</f>
        <v>0.20412876093664886</v>
      </c>
    </row>
    <row r="31" spans="2:15">
      <c r="B31" s="107">
        <v>4</v>
      </c>
      <c r="C31" s="31" t="s">
        <v>123</v>
      </c>
      <c r="D31" s="31" t="s">
        <v>30</v>
      </c>
      <c r="E31" s="74">
        <f>'[3]EU Model'!R44</f>
        <v>0</v>
      </c>
      <c r="F31" s="74">
        <v>2.0264700145336952E-5</v>
      </c>
      <c r="G31" s="74">
        <v>6.1101948255650449E-4</v>
      </c>
      <c r="H31" s="74">
        <v>4.8656930809788876E-3</v>
      </c>
      <c r="I31" s="74">
        <v>1.6704679366891736E-2</v>
      </c>
      <c r="J31" s="74">
        <v>4.1239801948437078E-2</v>
      </c>
      <c r="K31" s="74">
        <v>7.8357621136035296E-2</v>
      </c>
      <c r="L31" s="74">
        <v>0.14258918174602547</v>
      </c>
      <c r="N31" s="108">
        <f t="shared" si="12"/>
        <v>4.8656930809788876E-3</v>
      </c>
      <c r="O31" s="108">
        <f t="shared" si="13"/>
        <v>0.14258918174602547</v>
      </c>
    </row>
    <row r="32" spans="2:15">
      <c r="B32" s="107">
        <v>4</v>
      </c>
      <c r="C32" s="31" t="s">
        <v>122</v>
      </c>
      <c r="D32" s="31" t="s">
        <v>30</v>
      </c>
      <c r="E32" s="74">
        <f>'[3]EU Model'!R45</f>
        <v>0</v>
      </c>
      <c r="F32" s="74">
        <v>8.3510012482980434E-5</v>
      </c>
      <c r="G32" s="74">
        <v>2.7406020358449646E-3</v>
      </c>
      <c r="H32" s="74">
        <v>1.5735665912331914E-2</v>
      </c>
      <c r="I32" s="74">
        <v>4.3949392037030938E-2</v>
      </c>
      <c r="J32" s="74">
        <v>8.881211606827609E-2</v>
      </c>
      <c r="K32" s="74">
        <v>0.1593470130391301</v>
      </c>
      <c r="L32" s="74">
        <v>0.2785329794152982</v>
      </c>
      <c r="N32" s="108">
        <f t="shared" si="12"/>
        <v>1.5735665912331914E-2</v>
      </c>
      <c r="O32" s="108">
        <f t="shared" si="13"/>
        <v>0.2785329794152982</v>
      </c>
    </row>
    <row r="33" spans="2:15">
      <c r="B33" s="107">
        <v>4</v>
      </c>
      <c r="C33" s="31" t="s">
        <v>121</v>
      </c>
      <c r="D33" s="31" t="s">
        <v>30</v>
      </c>
      <c r="E33" s="74">
        <f>'[3]EU Model'!R46</f>
        <v>0</v>
      </c>
      <c r="F33" s="74">
        <v>5.7264008559758113E-5</v>
      </c>
      <c r="G33" s="74">
        <v>2.6167351167793707E-3</v>
      </c>
      <c r="H33" s="74">
        <v>1.8267732721870437E-2</v>
      </c>
      <c r="I33" s="74">
        <v>5.3621060106064003E-2</v>
      </c>
      <c r="J33" s="74">
        <v>0.10844404544273285</v>
      </c>
      <c r="K33" s="74">
        <v>0.19071769595371416</v>
      </c>
      <c r="L33" s="74">
        <v>0.33130551918550827</v>
      </c>
      <c r="N33" s="108">
        <f t="shared" si="12"/>
        <v>1.8267732721870437E-2</v>
      </c>
      <c r="O33" s="108">
        <f t="shared" si="13"/>
        <v>0.33130551918550827</v>
      </c>
    </row>
    <row r="34" spans="2:15">
      <c r="B34" s="107">
        <v>4</v>
      </c>
      <c r="C34" s="31" t="s">
        <v>110</v>
      </c>
      <c r="D34" s="31" t="s">
        <v>30</v>
      </c>
      <c r="E34" s="74">
        <f>'[3]EU Model'!R47</f>
        <v>0</v>
      </c>
      <c r="F34" s="74">
        <v>1.0941636373577152E-3</v>
      </c>
      <c r="G34" s="74">
        <v>2.1242810171397754E-2</v>
      </c>
      <c r="H34" s="74">
        <v>8.3453825588744715E-2</v>
      </c>
      <c r="I34" s="74">
        <v>0.16816445703579611</v>
      </c>
      <c r="J34" s="74">
        <v>0.26102436701413101</v>
      </c>
      <c r="K34" s="74">
        <v>0.39346648283266505</v>
      </c>
      <c r="L34" s="74">
        <v>0.57027286955403333</v>
      </c>
      <c r="N34" s="108">
        <f t="shared" si="12"/>
        <v>8.3453825588744715E-2</v>
      </c>
      <c r="O34" s="108">
        <f t="shared" si="13"/>
        <v>0.57027286955403333</v>
      </c>
    </row>
    <row r="35" spans="2:15">
      <c r="B35" s="107">
        <v>4</v>
      </c>
      <c r="C35" s="31" t="s">
        <v>54</v>
      </c>
      <c r="D35" s="31" t="s">
        <v>30</v>
      </c>
      <c r="E35" s="74">
        <f>'[3]EU Model'!R48</f>
        <v>0</v>
      </c>
      <c r="F35" s="74">
        <v>2.1537061883640673E-4</v>
      </c>
      <c r="G35" s="74">
        <v>4.6992976960475302E-3</v>
      </c>
      <c r="H35" s="74">
        <v>2.6026103475712895E-2</v>
      </c>
      <c r="I35" s="74">
        <v>6.7495650645886085E-2</v>
      </c>
      <c r="J35" s="74">
        <v>0.12088924947029192</v>
      </c>
      <c r="K35" s="74">
        <v>0.18971811747121378</v>
      </c>
      <c r="L35" s="74">
        <v>0.29957495848049959</v>
      </c>
      <c r="N35" s="108">
        <f t="shared" si="12"/>
        <v>2.6026103475712895E-2</v>
      </c>
      <c r="O35" s="108">
        <f t="shared" si="13"/>
        <v>0.29957495848049959</v>
      </c>
    </row>
    <row r="36" spans="2:15">
      <c r="B36" s="107">
        <v>4</v>
      </c>
      <c r="C36" s="31" t="s">
        <v>120</v>
      </c>
      <c r="D36" s="31" t="s">
        <v>30</v>
      </c>
      <c r="E36" s="74">
        <f>'[3]EU Model'!R50</f>
        <v>0</v>
      </c>
      <c r="F36" s="74">
        <v>1.3387368279967971E-4</v>
      </c>
      <c r="G36" s="74">
        <v>2.8676108907561963E-3</v>
      </c>
      <c r="H36" s="74">
        <v>1.4921110185102331E-2</v>
      </c>
      <c r="I36" s="74">
        <v>4.4272908087552056E-2</v>
      </c>
      <c r="J36" s="74">
        <v>9.3652438884999273E-2</v>
      </c>
      <c r="K36" s="74">
        <v>0.17172538593921369</v>
      </c>
      <c r="L36" s="74">
        <v>0.29667831339550849</v>
      </c>
      <c r="N36" s="108">
        <f t="shared" si="12"/>
        <v>1.4921110185102331E-2</v>
      </c>
      <c r="O36" s="108">
        <f t="shared" si="13"/>
        <v>0.29667831339550849</v>
      </c>
    </row>
    <row r="37" spans="2:15">
      <c r="B37" s="107">
        <v>4</v>
      </c>
      <c r="C37" s="31" t="s">
        <v>119</v>
      </c>
      <c r="D37" s="31" t="s">
        <v>30</v>
      </c>
      <c r="E37" s="74">
        <f>'[3]EU Model'!R51</f>
        <v>0</v>
      </c>
      <c r="F37" s="74">
        <v>1.4012359402771762E-3</v>
      </c>
      <c r="G37" s="74">
        <v>1.4863294379458766E-2</v>
      </c>
      <c r="H37" s="74">
        <v>4.2824232098978711E-2</v>
      </c>
      <c r="I37" s="74">
        <v>8.6988754644894306E-2</v>
      </c>
      <c r="J37" s="74">
        <v>0.14107600050055463</v>
      </c>
      <c r="K37" s="74">
        <v>0.20869478056640153</v>
      </c>
      <c r="L37" s="74">
        <v>0.29737639425434703</v>
      </c>
      <c r="N37" s="108">
        <f t="shared" si="12"/>
        <v>4.2824232098978711E-2</v>
      </c>
      <c r="O37" s="108">
        <f t="shared" si="13"/>
        <v>0.29737639425434703</v>
      </c>
    </row>
    <row r="38" spans="2:15">
      <c r="B38" s="107">
        <v>4</v>
      </c>
      <c r="C38" s="31" t="s">
        <v>118</v>
      </c>
      <c r="D38" s="31" t="s">
        <v>30</v>
      </c>
      <c r="E38" s="74">
        <f>'[3]EU Model'!R52</f>
        <v>0</v>
      </c>
      <c r="F38" s="74">
        <v>1.553538865358971E-4</v>
      </c>
      <c r="G38" s="74">
        <v>3.0393517190895809E-3</v>
      </c>
      <c r="H38" s="74">
        <v>1.5014456313543994E-2</v>
      </c>
      <c r="I38" s="74">
        <v>4.2525763399006981E-2</v>
      </c>
      <c r="J38" s="74">
        <v>8.5000656570742947E-2</v>
      </c>
      <c r="K38" s="74">
        <v>0.14425542064896762</v>
      </c>
      <c r="L38" s="74">
        <v>0.22712112189326145</v>
      </c>
      <c r="N38" s="108">
        <f t="shared" si="12"/>
        <v>1.5014456313543994E-2</v>
      </c>
      <c r="O38" s="108">
        <f t="shared" si="13"/>
        <v>0.22712112189326145</v>
      </c>
    </row>
    <row r="39" spans="2:15" s="86" customFormat="1">
      <c r="B39" s="107">
        <v>4</v>
      </c>
      <c r="C39" s="31" t="s">
        <v>117</v>
      </c>
      <c r="D39" s="31" t="s">
        <v>30</v>
      </c>
      <c r="E39" s="74">
        <f>'[3]EU Model'!R54</f>
        <v>0</v>
      </c>
      <c r="F39" s="74">
        <v>1.4497716506446312E-5</v>
      </c>
      <c r="G39" s="74">
        <v>5.5660057309237984E-4</v>
      </c>
      <c r="H39" s="74">
        <v>4.0388711106281111E-3</v>
      </c>
      <c r="I39" s="74">
        <v>1.5003351102243809E-2</v>
      </c>
      <c r="J39" s="74">
        <v>4.5774569007283362E-2</v>
      </c>
      <c r="K39" s="74">
        <v>0.10845492639091128</v>
      </c>
      <c r="L39" s="74">
        <v>0.20047833145426081</v>
      </c>
      <c r="N39" s="108">
        <f t="shared" si="12"/>
        <v>4.0388711106281111E-3</v>
      </c>
      <c r="O39" s="108">
        <f t="shared" si="13"/>
        <v>0.20047833145426081</v>
      </c>
    </row>
    <row r="40" spans="2:15">
      <c r="B40" s="107">
        <v>4</v>
      </c>
      <c r="C40" s="31" t="s">
        <v>116</v>
      </c>
      <c r="D40" s="31" t="s">
        <v>30</v>
      </c>
      <c r="E40" s="74">
        <f>'[3]EU Model'!R55</f>
        <v>0</v>
      </c>
      <c r="F40" s="74">
        <v>1.7262253498313661E-5</v>
      </c>
      <c r="G40" s="74">
        <v>6.7776078389771629E-4</v>
      </c>
      <c r="H40" s="74">
        <v>4.5274394396299178E-3</v>
      </c>
      <c r="I40" s="74">
        <v>1.6489423827934804E-2</v>
      </c>
      <c r="J40" s="74">
        <v>5.2610110015968339E-2</v>
      </c>
      <c r="K40" s="74">
        <v>0.12899543085644011</v>
      </c>
      <c r="L40" s="74">
        <v>0.23994395769261684</v>
      </c>
      <c r="N40" s="108">
        <f t="shared" si="12"/>
        <v>4.5274394396299178E-3</v>
      </c>
      <c r="O40" s="108">
        <f t="shared" si="13"/>
        <v>0.23994395769261684</v>
      </c>
    </row>
    <row r="41" spans="2:15">
      <c r="B41" s="107">
        <v>4</v>
      </c>
      <c r="C41" s="31" t="s">
        <v>115</v>
      </c>
      <c r="D41" s="31" t="s">
        <v>30</v>
      </c>
      <c r="E41" s="74">
        <f>'[3]EU Model'!R56</f>
        <v>0</v>
      </c>
      <c r="F41" s="74">
        <v>1.7262253498313708E-5</v>
      </c>
      <c r="G41" s="74">
        <v>5.6475018205246017E-4</v>
      </c>
      <c r="H41" s="74">
        <v>3.7714667090410227E-3</v>
      </c>
      <c r="I41" s="74">
        <v>1.470773559151585E-2</v>
      </c>
      <c r="J41" s="74">
        <v>5.2306937842777609E-2</v>
      </c>
      <c r="K41" s="74">
        <v>0.13345971245021254</v>
      </c>
      <c r="L41" s="74">
        <v>0.25699194738228154</v>
      </c>
      <c r="N41" s="108">
        <f t="shared" si="12"/>
        <v>3.7714667090410227E-3</v>
      </c>
      <c r="O41" s="108">
        <f t="shared" si="13"/>
        <v>0.25699194738228154</v>
      </c>
    </row>
    <row r="42" spans="2:15">
      <c r="B42" s="107">
        <v>4</v>
      </c>
      <c r="C42" s="31" t="s">
        <v>114</v>
      </c>
      <c r="D42" s="31" t="s">
        <v>30</v>
      </c>
      <c r="E42" s="74">
        <f>'[3]EU Model'!R57</f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N42" s="108">
        <f t="shared" si="12"/>
        <v>0</v>
      </c>
      <c r="O42" s="108">
        <f t="shared" si="13"/>
        <v>0</v>
      </c>
    </row>
    <row r="43" spans="2:15">
      <c r="B43" s="107"/>
      <c r="C43" s="31"/>
      <c r="D43" s="31"/>
      <c r="E43" s="106"/>
      <c r="F43" s="106"/>
      <c r="G43" s="106"/>
      <c r="H43" s="106"/>
      <c r="I43" s="106"/>
      <c r="J43" s="106"/>
      <c r="K43" s="106"/>
      <c r="L43" s="106"/>
      <c r="N43" s="96"/>
      <c r="O43" s="96"/>
    </row>
    <row r="44" spans="2:15">
      <c r="B44" s="107"/>
      <c r="C44" s="31"/>
      <c r="D44" s="31"/>
      <c r="E44" s="106"/>
      <c r="F44" s="106"/>
      <c r="G44" s="106"/>
      <c r="H44" s="106"/>
      <c r="I44" s="106"/>
      <c r="J44" s="106"/>
      <c r="K44" s="106"/>
      <c r="L44" s="106"/>
      <c r="N44" s="23" t="s">
        <v>29</v>
      </c>
      <c r="O44" s="23"/>
    </row>
    <row r="45" spans="2:15" s="85" customFormat="1">
      <c r="B45" s="98">
        <v>4</v>
      </c>
      <c r="C45" s="97" t="s">
        <v>57</v>
      </c>
      <c r="D45" s="97" t="s">
        <v>30</v>
      </c>
      <c r="E45" s="100">
        <v>0</v>
      </c>
      <c r="F45" s="100">
        <v>2.5644872398987369E-4</v>
      </c>
      <c r="G45" s="100">
        <v>3.4583347827833104E-3</v>
      </c>
      <c r="H45" s="100">
        <v>1.4069585415060419E-2</v>
      </c>
      <c r="I45" s="100">
        <v>3.4662781515472273E-2</v>
      </c>
      <c r="J45" s="100">
        <v>7.0012483069239725E-2</v>
      </c>
      <c r="K45" s="100">
        <v>0.1246005584552756</v>
      </c>
      <c r="L45" s="100">
        <v>0.20412876093664886</v>
      </c>
      <c r="N45" s="104">
        <f t="shared" ref="N45:N52" si="14">H45</f>
        <v>1.4069585415060419E-2</v>
      </c>
      <c r="O45" s="104">
        <f t="shared" ref="O45:O52" si="15">L45</f>
        <v>0.20412876093664886</v>
      </c>
    </row>
    <row r="46" spans="2:15" s="85" customFormat="1">
      <c r="B46" s="98">
        <v>4</v>
      </c>
      <c r="C46" s="97" t="s">
        <v>113</v>
      </c>
      <c r="D46" s="97" t="s">
        <v>30</v>
      </c>
      <c r="E46" s="100">
        <v>0</v>
      </c>
      <c r="F46" s="100">
        <v>8.1471596085658013E-5</v>
      </c>
      <c r="G46" s="100">
        <v>2.4040537795774089E-3</v>
      </c>
      <c r="H46" s="100">
        <v>1.3668269785292227E-2</v>
      </c>
      <c r="I46" s="100">
        <v>3.8048278537348344E-2</v>
      </c>
      <c r="J46" s="100">
        <v>7.7770706125043415E-2</v>
      </c>
      <c r="K46" s="100">
        <v>0.13923384335245659</v>
      </c>
      <c r="L46" s="100">
        <v>0.24273505936571654</v>
      </c>
      <c r="N46" s="104">
        <f t="shared" si="14"/>
        <v>1.3668269785292227E-2</v>
      </c>
      <c r="O46" s="104">
        <f t="shared" si="15"/>
        <v>0.24273505936571654</v>
      </c>
    </row>
    <row r="47" spans="2:15">
      <c r="B47" s="103">
        <v>4</v>
      </c>
      <c r="C47" s="102" t="s">
        <v>112</v>
      </c>
      <c r="D47" s="102" t="s">
        <v>30</v>
      </c>
      <c r="E47" s="74">
        <v>0</v>
      </c>
      <c r="F47" s="74">
        <v>2.0264700145336952E-5</v>
      </c>
      <c r="G47" s="74">
        <v>6.1101948255650449E-4</v>
      </c>
      <c r="H47" s="74">
        <v>4.8656930809788876E-3</v>
      </c>
      <c r="I47" s="74">
        <v>1.6704679366891736E-2</v>
      </c>
      <c r="J47" s="74">
        <v>4.1239801948437078E-2</v>
      </c>
      <c r="K47" s="74">
        <v>7.8357621136035296E-2</v>
      </c>
      <c r="L47" s="74">
        <v>0.14258918174602547</v>
      </c>
      <c r="N47" s="101">
        <f t="shared" si="14"/>
        <v>4.8656930809788876E-3</v>
      </c>
      <c r="O47" s="101">
        <f t="shared" si="15"/>
        <v>0.14258918174602547</v>
      </c>
    </row>
    <row r="48" spans="2:15">
      <c r="B48" s="103">
        <v>4</v>
      </c>
      <c r="C48" s="102" t="s">
        <v>111</v>
      </c>
      <c r="D48" s="102" t="s">
        <v>30</v>
      </c>
      <c r="E48" s="74">
        <v>0</v>
      </c>
      <c r="F48" s="74">
        <v>8.1084993314277143E-5</v>
      </c>
      <c r="G48" s="74">
        <v>2.7291572591855921E-3</v>
      </c>
      <c r="H48" s="74">
        <v>1.5969618119590991E-2</v>
      </c>
      <c r="I48" s="74">
        <v>4.4843013044226956E-2</v>
      </c>
      <c r="J48" s="74">
        <v>9.0626022870658449E-2</v>
      </c>
      <c r="K48" s="74">
        <v>0.16224553075732145</v>
      </c>
      <c r="L48" s="74">
        <v>0.28340893770968395</v>
      </c>
      <c r="N48" s="101">
        <f t="shared" si="14"/>
        <v>1.5969618119590991E-2</v>
      </c>
      <c r="O48" s="101">
        <f t="shared" si="15"/>
        <v>0.28340893770968395</v>
      </c>
    </row>
    <row r="49" spans="2:15">
      <c r="B49" s="103">
        <v>4</v>
      </c>
      <c r="C49" s="102" t="s">
        <v>110</v>
      </c>
      <c r="D49" s="102" t="s">
        <v>30</v>
      </c>
      <c r="E49" s="74">
        <v>0</v>
      </c>
      <c r="F49" s="74">
        <v>1.0941636373577152E-3</v>
      </c>
      <c r="G49" s="74">
        <v>2.1242810171397754E-2</v>
      </c>
      <c r="H49" s="74">
        <v>8.3453825588744715E-2</v>
      </c>
      <c r="I49" s="74">
        <v>0.16816445703579611</v>
      </c>
      <c r="J49" s="74">
        <v>0.26102436701413101</v>
      </c>
      <c r="K49" s="74">
        <v>0.39346648283266505</v>
      </c>
      <c r="L49" s="74">
        <v>0.57027286955403333</v>
      </c>
      <c r="N49" s="101">
        <f t="shared" si="14"/>
        <v>8.3453825588744715E-2</v>
      </c>
      <c r="O49" s="101">
        <f t="shared" si="15"/>
        <v>0.57027286955403333</v>
      </c>
    </row>
    <row r="50" spans="2:15" s="85" customFormat="1">
      <c r="B50" s="98">
        <v>4</v>
      </c>
      <c r="C50" s="97" t="s">
        <v>54</v>
      </c>
      <c r="D50" s="97" t="s">
        <v>30</v>
      </c>
      <c r="E50" s="100">
        <v>0</v>
      </c>
      <c r="F50" s="100">
        <v>2.1537061883640673E-4</v>
      </c>
      <c r="G50" s="100">
        <v>4.6992976960475302E-3</v>
      </c>
      <c r="H50" s="100">
        <v>2.6026103475712895E-2</v>
      </c>
      <c r="I50" s="100">
        <v>6.7495650645886085E-2</v>
      </c>
      <c r="J50" s="100">
        <v>0.12088924947029192</v>
      </c>
      <c r="K50" s="100">
        <v>0.18971811747121378</v>
      </c>
      <c r="L50" s="100">
        <v>0.29957495848049959</v>
      </c>
      <c r="N50" s="99">
        <f t="shared" si="14"/>
        <v>2.6026103475712895E-2</v>
      </c>
      <c r="O50" s="99">
        <f t="shared" si="15"/>
        <v>0.29957495848049959</v>
      </c>
    </row>
    <row r="51" spans="2:15" s="85" customFormat="1">
      <c r="B51" s="98">
        <v>4</v>
      </c>
      <c r="C51" s="97" t="s">
        <v>53</v>
      </c>
      <c r="D51" s="97" t="s">
        <v>30</v>
      </c>
      <c r="E51" s="100">
        <v>0</v>
      </c>
      <c r="F51" s="100">
        <v>2.767131155106522E-4</v>
      </c>
      <c r="G51" s="100">
        <v>4.1975482991908177E-3</v>
      </c>
      <c r="H51" s="100">
        <v>1.7800866634612118E-2</v>
      </c>
      <c r="I51" s="100">
        <v>4.7361419407571603E-2</v>
      </c>
      <c r="J51" s="100">
        <v>9.2393640284261919E-2</v>
      </c>
      <c r="K51" s="100">
        <v>0.15626953594665086</v>
      </c>
      <c r="L51" s="100">
        <v>0.24817024593503689</v>
      </c>
      <c r="N51" s="99">
        <f t="shared" si="14"/>
        <v>1.7800866634612118E-2</v>
      </c>
      <c r="O51" s="99">
        <f t="shared" si="15"/>
        <v>0.24817024593503689</v>
      </c>
    </row>
    <row r="52" spans="2:15" s="85" customFormat="1">
      <c r="B52" s="98">
        <v>4</v>
      </c>
      <c r="C52" s="97" t="s">
        <v>52</v>
      </c>
      <c r="D52" s="97" t="s">
        <v>30</v>
      </c>
      <c r="E52" s="100">
        <v>0</v>
      </c>
      <c r="F52" s="100">
        <v>1.5407022486995186E-5</v>
      </c>
      <c r="G52" s="100">
        <v>5.7108539188072637E-4</v>
      </c>
      <c r="H52" s="100">
        <v>4.0325446984550879E-3</v>
      </c>
      <c r="I52" s="100">
        <v>1.5090689042273954E-2</v>
      </c>
      <c r="J52" s="100">
        <v>4.7740775255350969E-2</v>
      </c>
      <c r="K52" s="100">
        <v>0.11524528916637088</v>
      </c>
      <c r="L52" s="100">
        <v>0.21482191129753439</v>
      </c>
      <c r="N52" s="99">
        <f t="shared" si="14"/>
        <v>4.0325446984550879E-3</v>
      </c>
      <c r="O52" s="99">
        <f t="shared" si="15"/>
        <v>0.21482191129753439</v>
      </c>
    </row>
    <row r="54" spans="2:15" s="94" customFormat="1">
      <c r="B54" s="109"/>
      <c r="C54" s="110" t="s">
        <v>125</v>
      </c>
      <c r="D54" s="110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</row>
    <row r="55" spans="2:15">
      <c r="B55" s="98">
        <v>4</v>
      </c>
      <c r="C55" s="97" t="s">
        <v>57</v>
      </c>
      <c r="D55" s="97" t="s">
        <v>88</v>
      </c>
      <c r="E55" s="202">
        <f t="shared" ref="E55:L55" si="16">SUM(E56:E67)</f>
        <v>0</v>
      </c>
      <c r="F55" s="202">
        <f t="shared" si="16"/>
        <v>2.7323993745118295E-2</v>
      </c>
      <c r="G55" s="202">
        <f t="shared" si="16"/>
        <v>0.3201194015204567</v>
      </c>
      <c r="H55" s="202">
        <f t="shared" si="16"/>
        <v>1.1924941104986704</v>
      </c>
      <c r="I55" s="202">
        <f t="shared" si="16"/>
        <v>1.8423208058404408</v>
      </c>
      <c r="J55" s="202">
        <f t="shared" si="16"/>
        <v>3.1280098702850374</v>
      </c>
      <c r="K55" s="202">
        <f t="shared" si="16"/>
        <v>5.2556952015349969</v>
      </c>
      <c r="L55" s="202">
        <f t="shared" si="16"/>
        <v>8.034078846035813</v>
      </c>
      <c r="M55" s="76"/>
      <c r="N55" s="204">
        <f t="shared" ref="N55:N67" si="17">H55</f>
        <v>1.1924941104986704</v>
      </c>
      <c r="O55" s="204">
        <f t="shared" ref="O55:O67" si="18">L55</f>
        <v>8.034078846035813</v>
      </c>
    </row>
    <row r="56" spans="2:15">
      <c r="B56" s="107">
        <v>4</v>
      </c>
      <c r="C56" s="31" t="s">
        <v>123</v>
      </c>
      <c r="D56" s="31" t="s">
        <v>88</v>
      </c>
      <c r="E56" s="76">
        <v>0</v>
      </c>
      <c r="F56" s="76">
        <v>1.7635927552328132E-3</v>
      </c>
      <c r="G56" s="76">
        <v>2.2702746056694832E-2</v>
      </c>
      <c r="H56" s="76">
        <v>0.14129683368045007</v>
      </c>
      <c r="I56" s="76">
        <v>0.24406681987719003</v>
      </c>
      <c r="J56" s="76">
        <v>0.51157422913258044</v>
      </c>
      <c r="K56" s="76">
        <v>0.74859343530422595</v>
      </c>
      <c r="L56" s="76">
        <v>1.3388639779920137</v>
      </c>
      <c r="M56" s="76"/>
      <c r="N56" s="204">
        <f t="shared" si="17"/>
        <v>0.14129683368045007</v>
      </c>
      <c r="O56" s="204">
        <f t="shared" si="18"/>
        <v>1.3388639779920137</v>
      </c>
    </row>
    <row r="57" spans="2:15">
      <c r="B57" s="107">
        <v>4</v>
      </c>
      <c r="C57" s="31" t="s">
        <v>122</v>
      </c>
      <c r="D57" s="31" t="s">
        <v>88</v>
      </c>
      <c r="E57" s="76">
        <v>0</v>
      </c>
      <c r="F57" s="76">
        <v>1.2990565331796242E-2</v>
      </c>
      <c r="G57" s="76">
        <v>0.18676685892389103</v>
      </c>
      <c r="H57" s="76">
        <v>0.65776244864933553</v>
      </c>
      <c r="I57" s="76">
        <v>1.0021556421375504</v>
      </c>
      <c r="J57" s="76">
        <v>1.6459342173740248</v>
      </c>
      <c r="K57" s="76">
        <v>2.9253080251405397</v>
      </c>
      <c r="L57" s="76">
        <v>4.2863293722387272</v>
      </c>
      <c r="M57" s="76"/>
      <c r="N57" s="204">
        <f t="shared" si="17"/>
        <v>0.65776244864933553</v>
      </c>
      <c r="O57" s="204">
        <f t="shared" si="18"/>
        <v>4.2863293722387272</v>
      </c>
    </row>
    <row r="58" spans="2:15">
      <c r="B58" s="107">
        <v>4</v>
      </c>
      <c r="C58" s="31" t="s">
        <v>121</v>
      </c>
      <c r="D58" s="31" t="s">
        <v>88</v>
      </c>
      <c r="E58" s="76">
        <v>0</v>
      </c>
      <c r="F58" s="76">
        <v>9.0683174208060387E-4</v>
      </c>
      <c r="G58" s="76">
        <v>1.9872431734621044E-2</v>
      </c>
      <c r="H58" s="76">
        <v>8.5566292153131523E-2</v>
      </c>
      <c r="I58" s="76">
        <v>0.12470389026934842</v>
      </c>
      <c r="J58" s="76">
        <v>0.19960171192459744</v>
      </c>
      <c r="K58" s="76">
        <v>0.35297737324172318</v>
      </c>
      <c r="L58" s="76">
        <v>0.52039478236831349</v>
      </c>
      <c r="M58" s="76"/>
      <c r="N58" s="204">
        <f t="shared" si="17"/>
        <v>8.5566292153131523E-2</v>
      </c>
      <c r="O58" s="204">
        <f t="shared" si="18"/>
        <v>0.52039478236831349</v>
      </c>
    </row>
    <row r="59" spans="2:15">
      <c r="B59" s="107">
        <v>4</v>
      </c>
      <c r="C59" s="31" t="s">
        <v>110</v>
      </c>
      <c r="D59" s="31" t="s">
        <v>88</v>
      </c>
      <c r="E59" s="76">
        <v>0</v>
      </c>
      <c r="F59" s="76">
        <v>6.2213458561619596E-3</v>
      </c>
      <c r="G59" s="76">
        <v>4.3658857742307336E-2</v>
      </c>
      <c r="H59" s="76">
        <v>0.11436402736690318</v>
      </c>
      <c r="I59" s="76">
        <v>0.15808974451852109</v>
      </c>
      <c r="J59" s="76">
        <v>0.22729960473099131</v>
      </c>
      <c r="K59" s="76">
        <v>0.31913749736821045</v>
      </c>
      <c r="L59" s="76">
        <v>0.43429068317102165</v>
      </c>
      <c r="M59" s="76"/>
      <c r="N59" s="204">
        <f t="shared" si="17"/>
        <v>0.11436402736690318</v>
      </c>
      <c r="O59" s="204">
        <f t="shared" si="18"/>
        <v>0.43429068317102165</v>
      </c>
    </row>
    <row r="60" spans="2:15">
      <c r="B60" s="107">
        <v>4</v>
      </c>
      <c r="C60" s="31" t="s">
        <v>54</v>
      </c>
      <c r="D60" s="31" t="s">
        <v>88</v>
      </c>
      <c r="E60" s="76">
        <v>0</v>
      </c>
      <c r="F60" s="76">
        <v>5.0710977089526779E-3</v>
      </c>
      <c r="G60" s="76">
        <v>4.3911633863200655E-2</v>
      </c>
      <c r="H60" s="76">
        <v>0.18039507444169686</v>
      </c>
      <c r="I60" s="76">
        <v>0.27904643858326045</v>
      </c>
      <c r="J60" s="76">
        <v>0.44521003721207963</v>
      </c>
      <c r="K60" s="76">
        <v>0.73336137501896481</v>
      </c>
      <c r="L60" s="76">
        <v>1.1782873997851444</v>
      </c>
      <c r="M60" s="76"/>
      <c r="N60" s="204">
        <f t="shared" si="17"/>
        <v>0.18039507444169686</v>
      </c>
      <c r="O60" s="204">
        <f t="shared" si="18"/>
        <v>1.1782873997851444</v>
      </c>
    </row>
    <row r="61" spans="2:15">
      <c r="B61" s="107">
        <v>4</v>
      </c>
      <c r="C61" s="31" t="s">
        <v>120</v>
      </c>
      <c r="D61" s="31" t="s">
        <v>88</v>
      </c>
      <c r="E61" s="76">
        <v>0</v>
      </c>
      <c r="F61" s="76">
        <v>2.5172760860073631E-5</v>
      </c>
      <c r="G61" s="76">
        <v>2.0208459793729272E-4</v>
      </c>
      <c r="H61" s="76">
        <v>7.4122237774739579E-4</v>
      </c>
      <c r="I61" s="76">
        <v>1.6005119111206891E-3</v>
      </c>
      <c r="J61" s="76">
        <v>2.7132794192578288E-3</v>
      </c>
      <c r="K61" s="76">
        <v>4.9039350640656338E-3</v>
      </c>
      <c r="L61" s="76">
        <v>8.4042495782904042E-3</v>
      </c>
      <c r="M61" s="76"/>
      <c r="N61" s="204">
        <f t="shared" si="17"/>
        <v>7.4122237774739579E-4</v>
      </c>
      <c r="O61" s="204">
        <f t="shared" si="18"/>
        <v>8.4042495782904042E-3</v>
      </c>
    </row>
    <row r="62" spans="2:15">
      <c r="B62" s="107">
        <v>4</v>
      </c>
      <c r="C62" s="31" t="s">
        <v>119</v>
      </c>
      <c r="D62" s="31" t="s">
        <v>88</v>
      </c>
      <c r="E62" s="76">
        <v>0</v>
      </c>
      <c r="F62" s="76">
        <v>1.3239847211922795E-4</v>
      </c>
      <c r="G62" s="76">
        <v>3.714925101460225E-4</v>
      </c>
      <c r="H62" s="76">
        <v>6.99643371565583E-4</v>
      </c>
      <c r="I62" s="76">
        <v>1.1338811857142641E-3</v>
      </c>
      <c r="J62" s="76">
        <v>1.686281352985413E-3</v>
      </c>
      <c r="K62" s="76">
        <v>2.3997094679830211E-3</v>
      </c>
      <c r="L62" s="76">
        <v>3.457268859941401E-3</v>
      </c>
      <c r="M62" s="76"/>
      <c r="N62" s="204">
        <f t="shared" si="17"/>
        <v>6.99643371565583E-4</v>
      </c>
      <c r="O62" s="204">
        <f t="shared" si="18"/>
        <v>3.457268859941401E-3</v>
      </c>
    </row>
    <row r="63" spans="2:15">
      <c r="B63" s="107">
        <v>4</v>
      </c>
      <c r="C63" s="31" t="s">
        <v>118</v>
      </c>
      <c r="D63" s="31" t="s">
        <v>88</v>
      </c>
      <c r="E63" s="76">
        <v>0</v>
      </c>
      <c r="F63" s="76">
        <v>1.0163362621490672E-4</v>
      </c>
      <c r="G63" s="76">
        <v>7.1845683413258898E-4</v>
      </c>
      <c r="H63" s="76">
        <v>2.5322752475264556E-3</v>
      </c>
      <c r="I63" s="76">
        <v>5.1089255302551595E-3</v>
      </c>
      <c r="J63" s="76">
        <v>7.992138312723036E-3</v>
      </c>
      <c r="K63" s="76">
        <v>1.3005973411181995E-2</v>
      </c>
      <c r="L63" s="76">
        <v>2.0213856903407046E-2</v>
      </c>
      <c r="M63" s="76"/>
      <c r="N63" s="204">
        <f t="shared" si="17"/>
        <v>2.5322752475264556E-3</v>
      </c>
      <c r="O63" s="204">
        <f t="shared" si="18"/>
        <v>2.0213856903407046E-2</v>
      </c>
    </row>
    <row r="64" spans="2:15" s="86" customFormat="1">
      <c r="B64" s="107">
        <v>4</v>
      </c>
      <c r="C64" s="31" t="s">
        <v>117</v>
      </c>
      <c r="D64" s="31" t="s">
        <v>88</v>
      </c>
      <c r="E64" s="76">
        <v>0</v>
      </c>
      <c r="F64" s="76">
        <v>7.2709819326590864E-5</v>
      </c>
      <c r="G64" s="76">
        <v>1.3269644396683635E-3</v>
      </c>
      <c r="H64" s="76">
        <v>6.5979773716207382E-3</v>
      </c>
      <c r="I64" s="76">
        <v>1.8556942934446308E-2</v>
      </c>
      <c r="J64" s="76">
        <v>5.8312486167289942E-2</v>
      </c>
      <c r="K64" s="76">
        <v>0.1080835534739238</v>
      </c>
      <c r="L64" s="76">
        <v>0.16877907385048704</v>
      </c>
      <c r="M64" s="205"/>
      <c r="N64" s="204">
        <f t="shared" si="17"/>
        <v>6.5979773716207382E-3</v>
      </c>
      <c r="O64" s="204">
        <f t="shared" si="18"/>
        <v>0.16877907385048704</v>
      </c>
    </row>
    <row r="65" spans="2:15">
      <c r="B65" s="107">
        <v>4</v>
      </c>
      <c r="C65" s="31" t="s">
        <v>116</v>
      </c>
      <c r="D65" s="31" t="s">
        <v>88</v>
      </c>
      <c r="E65" s="76">
        <v>0</v>
      </c>
      <c r="F65" s="76">
        <v>1.2697058402467416E-5</v>
      </c>
      <c r="G65" s="76">
        <v>2.248950131570708E-4</v>
      </c>
      <c r="H65" s="76">
        <v>9.2657455961933318E-4</v>
      </c>
      <c r="I65" s="76">
        <v>2.682993326507501E-3</v>
      </c>
      <c r="J65" s="76">
        <v>8.7033359235738385E-3</v>
      </c>
      <c r="K65" s="76">
        <v>1.5405062933140916E-2</v>
      </c>
      <c r="L65" s="76">
        <v>2.2772158638591694E-2</v>
      </c>
      <c r="M65" s="76"/>
      <c r="N65" s="204">
        <f t="shared" si="17"/>
        <v>9.2657455961933318E-4</v>
      </c>
      <c r="O65" s="204">
        <f t="shared" si="18"/>
        <v>2.2772158638591694E-2</v>
      </c>
    </row>
    <row r="66" spans="2:15">
      <c r="B66" s="107">
        <v>4</v>
      </c>
      <c r="C66" s="31" t="s">
        <v>115</v>
      </c>
      <c r="D66" s="31" t="s">
        <v>88</v>
      </c>
      <c r="E66" s="76">
        <v>0</v>
      </c>
      <c r="F66" s="76">
        <v>2.5934417162486598E-5</v>
      </c>
      <c r="G66" s="76">
        <v>3.6272425592413288E-4</v>
      </c>
      <c r="H66" s="76">
        <v>1.6108534357730372E-3</v>
      </c>
      <c r="I66" s="76">
        <v>5.1724876933057686E-3</v>
      </c>
      <c r="J66" s="76">
        <v>1.8974575836062556E-2</v>
      </c>
      <c r="K66" s="76">
        <v>3.250613973685576E-2</v>
      </c>
      <c r="L66" s="76">
        <v>5.2267206883610612E-2</v>
      </c>
      <c r="M66" s="76"/>
      <c r="N66" s="204">
        <f t="shared" si="17"/>
        <v>1.6108534357730372E-3</v>
      </c>
      <c r="O66" s="204">
        <f t="shared" si="18"/>
        <v>5.2267206883610612E-2</v>
      </c>
    </row>
    <row r="67" spans="2:15">
      <c r="B67" s="107">
        <v>4</v>
      </c>
      <c r="C67" s="31" t="s">
        <v>114</v>
      </c>
      <c r="D67" s="31" t="s">
        <v>88</v>
      </c>
      <c r="E67" s="76">
        <v>0</v>
      </c>
      <c r="F67" s="76">
        <v>1.4196808244971862E-8</v>
      </c>
      <c r="G67" s="76">
        <v>2.5554877630289299E-7</v>
      </c>
      <c r="H67" s="76">
        <v>8.8784330047440457E-7</v>
      </c>
      <c r="I67" s="76">
        <v>2.5278732208518727E-6</v>
      </c>
      <c r="J67" s="76">
        <v>7.9728988716473121E-6</v>
      </c>
      <c r="K67" s="76">
        <v>1.3121374182744797E-5</v>
      </c>
      <c r="L67" s="76">
        <v>1.8815766264868135E-5</v>
      </c>
      <c r="M67" s="76"/>
      <c r="N67" s="204">
        <f t="shared" si="17"/>
        <v>8.8784330047440457E-7</v>
      </c>
      <c r="O67" s="204">
        <f t="shared" si="18"/>
        <v>1.8815766264868135E-5</v>
      </c>
    </row>
    <row r="68" spans="2:15">
      <c r="B68" s="107"/>
      <c r="C68" s="31"/>
      <c r="D68" s="31"/>
      <c r="E68" s="106"/>
      <c r="F68" s="106"/>
      <c r="G68" s="106"/>
      <c r="H68" s="106"/>
      <c r="I68" s="106"/>
      <c r="J68" s="106"/>
      <c r="K68" s="106"/>
      <c r="L68" s="106"/>
      <c r="N68" s="96"/>
      <c r="O68" s="96"/>
    </row>
    <row r="69" spans="2:15">
      <c r="B69" s="23" t="s">
        <v>29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N69" s="96"/>
      <c r="O69" s="96"/>
    </row>
    <row r="70" spans="2:15" s="85" customFormat="1">
      <c r="B70" s="98">
        <v>4</v>
      </c>
      <c r="C70" s="97" t="s">
        <v>57</v>
      </c>
      <c r="D70" s="97" t="s">
        <v>88</v>
      </c>
      <c r="E70" s="202">
        <f t="shared" ref="E70:L70" si="19">E55</f>
        <v>0</v>
      </c>
      <c r="F70" s="202">
        <f t="shared" si="19"/>
        <v>2.7323993745118295E-2</v>
      </c>
      <c r="G70" s="202">
        <f t="shared" si="19"/>
        <v>0.3201194015204567</v>
      </c>
      <c r="H70" s="202">
        <f t="shared" si="19"/>
        <v>1.1924941104986704</v>
      </c>
      <c r="I70" s="202">
        <f t="shared" si="19"/>
        <v>1.8423208058404408</v>
      </c>
      <c r="J70" s="202">
        <f t="shared" si="19"/>
        <v>3.1280098702850374</v>
      </c>
      <c r="K70" s="202">
        <f t="shared" si="19"/>
        <v>5.2556952015349969</v>
      </c>
      <c r="L70" s="202">
        <f t="shared" si="19"/>
        <v>8.034078846035813</v>
      </c>
      <c r="M70" s="202"/>
      <c r="N70" s="203">
        <f t="shared" ref="N70:N77" si="20">H70</f>
        <v>1.1924941104986704</v>
      </c>
      <c r="O70" s="203">
        <f t="shared" ref="O70:O77" si="21">L70</f>
        <v>8.034078846035813</v>
      </c>
    </row>
    <row r="71" spans="2:15" s="85" customFormat="1">
      <c r="B71" s="98">
        <v>4</v>
      </c>
      <c r="C71" s="97" t="s">
        <v>113</v>
      </c>
      <c r="D71" s="97" t="s">
        <v>88</v>
      </c>
      <c r="E71" s="202">
        <f t="shared" ref="E71:L71" si="22">SUM(E56:E59)</f>
        <v>0</v>
      </c>
      <c r="F71" s="202">
        <f t="shared" si="22"/>
        <v>2.188233568527162E-2</v>
      </c>
      <c r="G71" s="202">
        <f t="shared" si="22"/>
        <v>0.27300089445751424</v>
      </c>
      <c r="H71" s="202">
        <f t="shared" si="22"/>
        <v>0.99898960184982033</v>
      </c>
      <c r="I71" s="202">
        <f t="shared" si="22"/>
        <v>1.5290160968026099</v>
      </c>
      <c r="J71" s="202">
        <f t="shared" si="22"/>
        <v>2.5844097631621938</v>
      </c>
      <c r="K71" s="202">
        <f t="shared" si="22"/>
        <v>4.3460163310546989</v>
      </c>
      <c r="L71" s="202">
        <f t="shared" si="22"/>
        <v>6.5798788157700763</v>
      </c>
      <c r="M71" s="202"/>
      <c r="N71" s="203">
        <f t="shared" si="20"/>
        <v>0.99898960184982033</v>
      </c>
      <c r="O71" s="203">
        <f t="shared" si="21"/>
        <v>6.5798788157700763</v>
      </c>
    </row>
    <row r="72" spans="2:15" s="85" customFormat="1">
      <c r="B72" s="107">
        <v>4</v>
      </c>
      <c r="C72" s="102" t="s">
        <v>112</v>
      </c>
      <c r="D72" s="102" t="s">
        <v>88</v>
      </c>
      <c r="E72" s="76">
        <f t="shared" ref="E72:L72" si="23">E56</f>
        <v>0</v>
      </c>
      <c r="F72" s="76">
        <f t="shared" si="23"/>
        <v>1.7635927552328132E-3</v>
      </c>
      <c r="G72" s="76">
        <f t="shared" si="23"/>
        <v>2.2702746056694832E-2</v>
      </c>
      <c r="H72" s="76">
        <f t="shared" si="23"/>
        <v>0.14129683368045007</v>
      </c>
      <c r="I72" s="76">
        <f t="shared" si="23"/>
        <v>0.24406681987719003</v>
      </c>
      <c r="J72" s="76">
        <f t="shared" si="23"/>
        <v>0.51157422913258044</v>
      </c>
      <c r="K72" s="76">
        <f t="shared" si="23"/>
        <v>0.74859343530422595</v>
      </c>
      <c r="L72" s="76">
        <f t="shared" si="23"/>
        <v>1.3388639779920137</v>
      </c>
      <c r="M72" s="202"/>
      <c r="N72" s="204">
        <f t="shared" si="20"/>
        <v>0.14129683368045007</v>
      </c>
      <c r="O72" s="204">
        <f t="shared" si="21"/>
        <v>1.3388639779920137</v>
      </c>
    </row>
    <row r="73" spans="2:15" s="85" customFormat="1">
      <c r="B73" s="107">
        <v>4</v>
      </c>
      <c r="C73" s="102" t="s">
        <v>111</v>
      </c>
      <c r="D73" s="102" t="s">
        <v>88</v>
      </c>
      <c r="E73" s="76">
        <f t="shared" ref="E73:L73" si="24">SUM(E57:E58)</f>
        <v>0</v>
      </c>
      <c r="F73" s="76">
        <f t="shared" si="24"/>
        <v>1.3897397073876846E-2</v>
      </c>
      <c r="G73" s="76">
        <f t="shared" si="24"/>
        <v>0.20663929065851208</v>
      </c>
      <c r="H73" s="76">
        <f t="shared" si="24"/>
        <v>0.74332874080246703</v>
      </c>
      <c r="I73" s="76">
        <f t="shared" si="24"/>
        <v>1.1268595324068988</v>
      </c>
      <c r="J73" s="76">
        <f t="shared" si="24"/>
        <v>1.8455359292986222</v>
      </c>
      <c r="K73" s="76">
        <f t="shared" si="24"/>
        <v>3.2782853983822626</v>
      </c>
      <c r="L73" s="76">
        <f t="shared" si="24"/>
        <v>4.8067241546070409</v>
      </c>
      <c r="M73" s="202"/>
      <c r="N73" s="204">
        <f t="shared" si="20"/>
        <v>0.74332874080246703</v>
      </c>
      <c r="O73" s="204">
        <f t="shared" si="21"/>
        <v>4.8067241546070409</v>
      </c>
    </row>
    <row r="74" spans="2:15" s="85" customFormat="1">
      <c r="B74" s="107">
        <v>4</v>
      </c>
      <c r="C74" s="102" t="s">
        <v>110</v>
      </c>
      <c r="D74" s="102" t="s">
        <v>88</v>
      </c>
      <c r="E74" s="76">
        <f t="shared" ref="E74:L75" si="25">E59</f>
        <v>0</v>
      </c>
      <c r="F74" s="76">
        <f t="shared" si="25"/>
        <v>6.2213458561619596E-3</v>
      </c>
      <c r="G74" s="76">
        <f t="shared" si="25"/>
        <v>4.3658857742307336E-2</v>
      </c>
      <c r="H74" s="76">
        <f t="shared" si="25"/>
        <v>0.11436402736690318</v>
      </c>
      <c r="I74" s="76">
        <f t="shared" si="25"/>
        <v>0.15808974451852109</v>
      </c>
      <c r="J74" s="76">
        <f t="shared" si="25"/>
        <v>0.22729960473099131</v>
      </c>
      <c r="K74" s="76">
        <f t="shared" si="25"/>
        <v>0.31913749736821045</v>
      </c>
      <c r="L74" s="76">
        <f t="shared" si="25"/>
        <v>0.43429068317102165</v>
      </c>
      <c r="M74" s="202"/>
      <c r="N74" s="204">
        <f t="shared" si="20"/>
        <v>0.11436402736690318</v>
      </c>
      <c r="O74" s="204">
        <f t="shared" si="21"/>
        <v>0.43429068317102165</v>
      </c>
    </row>
    <row r="75" spans="2:15" s="85" customFormat="1">
      <c r="B75" s="98">
        <v>4</v>
      </c>
      <c r="C75" s="97" t="s">
        <v>54</v>
      </c>
      <c r="D75" s="105" t="s">
        <v>88</v>
      </c>
      <c r="E75" s="202">
        <f t="shared" si="25"/>
        <v>0</v>
      </c>
      <c r="F75" s="202">
        <f t="shared" si="25"/>
        <v>5.0710977089526779E-3</v>
      </c>
      <c r="G75" s="202">
        <f t="shared" si="25"/>
        <v>4.3911633863200655E-2</v>
      </c>
      <c r="H75" s="202">
        <f t="shared" si="25"/>
        <v>0.18039507444169686</v>
      </c>
      <c r="I75" s="202">
        <f t="shared" si="25"/>
        <v>0.27904643858326045</v>
      </c>
      <c r="J75" s="202">
        <f t="shared" si="25"/>
        <v>0.44521003721207963</v>
      </c>
      <c r="K75" s="202">
        <f t="shared" si="25"/>
        <v>0.73336137501896481</v>
      </c>
      <c r="L75" s="202">
        <f t="shared" si="25"/>
        <v>1.1782873997851444</v>
      </c>
      <c r="M75" s="202"/>
      <c r="N75" s="203">
        <f t="shared" si="20"/>
        <v>0.18039507444169686</v>
      </c>
      <c r="O75" s="203">
        <f t="shared" si="21"/>
        <v>1.1782873997851444</v>
      </c>
    </row>
    <row r="76" spans="2:15" s="85" customFormat="1">
      <c r="B76" s="98">
        <v>4</v>
      </c>
      <c r="C76" s="97" t="s">
        <v>53</v>
      </c>
      <c r="D76" s="105" t="s">
        <v>88</v>
      </c>
      <c r="E76" s="202">
        <f t="shared" ref="E76:L76" si="26">SUM(E61:E63)</f>
        <v>0</v>
      </c>
      <c r="F76" s="202">
        <f t="shared" si="26"/>
        <v>2.5920485919420831E-4</v>
      </c>
      <c r="G76" s="202">
        <f t="shared" si="26"/>
        <v>1.2920339422159042E-3</v>
      </c>
      <c r="H76" s="202">
        <f t="shared" si="26"/>
        <v>3.9731409968394339E-3</v>
      </c>
      <c r="I76" s="202">
        <f t="shared" si="26"/>
        <v>7.8433186270901126E-3</v>
      </c>
      <c r="J76" s="202">
        <f t="shared" si="26"/>
        <v>1.2391699084966278E-2</v>
      </c>
      <c r="K76" s="202">
        <f t="shared" si="26"/>
        <v>2.0309617943230648E-2</v>
      </c>
      <c r="L76" s="202">
        <f t="shared" si="26"/>
        <v>3.2075375341638852E-2</v>
      </c>
      <c r="M76" s="202"/>
      <c r="N76" s="203">
        <f t="shared" si="20"/>
        <v>3.9731409968394339E-3</v>
      </c>
      <c r="O76" s="203">
        <f t="shared" si="21"/>
        <v>3.2075375341638852E-2</v>
      </c>
    </row>
    <row r="77" spans="2:15" s="85" customFormat="1">
      <c r="B77" s="98">
        <v>4</v>
      </c>
      <c r="C77" s="97" t="s">
        <v>52</v>
      </c>
      <c r="D77" s="105" t="s">
        <v>88</v>
      </c>
      <c r="E77" s="202">
        <f t="shared" ref="E77:L77" si="27">SUM(E64:E67)</f>
        <v>0</v>
      </c>
      <c r="F77" s="202">
        <f t="shared" si="27"/>
        <v>1.1135549169978985E-4</v>
      </c>
      <c r="G77" s="202">
        <f t="shared" si="27"/>
        <v>1.91483925752587E-3</v>
      </c>
      <c r="H77" s="202">
        <f t="shared" si="27"/>
        <v>9.1362932103135827E-3</v>
      </c>
      <c r="I77" s="202">
        <f t="shared" si="27"/>
        <v>2.641495182748043E-2</v>
      </c>
      <c r="J77" s="202">
        <f t="shared" si="27"/>
        <v>8.599837082579799E-2</v>
      </c>
      <c r="K77" s="202">
        <f t="shared" si="27"/>
        <v>0.15600787751810322</v>
      </c>
      <c r="L77" s="202">
        <f t="shared" si="27"/>
        <v>0.24383725513895421</v>
      </c>
      <c r="M77" s="202"/>
      <c r="N77" s="203">
        <f t="shared" si="20"/>
        <v>9.1362932103135827E-3</v>
      </c>
      <c r="O77" s="203">
        <f t="shared" si="21"/>
        <v>0.24383725513895421</v>
      </c>
    </row>
    <row r="79" spans="2:15" s="94" customFormat="1">
      <c r="B79" s="109"/>
      <c r="C79" s="110" t="s">
        <v>124</v>
      </c>
      <c r="D79" s="110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</row>
    <row r="80" spans="2:15">
      <c r="B80" s="98">
        <v>4</v>
      </c>
      <c r="C80" s="97" t="s">
        <v>57</v>
      </c>
      <c r="D80" s="97" t="s">
        <v>30</v>
      </c>
      <c r="E80" s="100">
        <v>0</v>
      </c>
      <c r="F80" s="100">
        <v>1.0201217259856619E-3</v>
      </c>
      <c r="G80" s="100">
        <v>1.1552654545053557E-2</v>
      </c>
      <c r="H80" s="100">
        <v>4.2844708171364022E-2</v>
      </c>
      <c r="I80" s="100">
        <v>7.2645118579456616E-2</v>
      </c>
      <c r="J80" s="100">
        <v>0.12787060869153888</v>
      </c>
      <c r="K80" s="100">
        <v>0.20671754655105062</v>
      </c>
      <c r="L80" s="100">
        <v>0.31686248167836167</v>
      </c>
      <c r="N80" s="108">
        <f t="shared" ref="N80:N92" si="28">H80</f>
        <v>4.2844708171364022E-2</v>
      </c>
      <c r="O80" s="108">
        <f t="shared" ref="O80:O92" si="29">L80</f>
        <v>0.31686248167836167</v>
      </c>
    </row>
    <row r="81" spans="2:15">
      <c r="B81" s="107">
        <v>4</v>
      </c>
      <c r="C81" s="31" t="s">
        <v>123</v>
      </c>
      <c r="D81" s="31" t="s">
        <v>30</v>
      </c>
      <c r="E81" s="74">
        <v>0</v>
      </c>
      <c r="F81" s="74">
        <v>2.4478498567148373E-4</v>
      </c>
      <c r="G81" s="74">
        <v>3.2240992919907985E-3</v>
      </c>
      <c r="H81" s="74">
        <v>2.0233965159390035E-2</v>
      </c>
      <c r="I81" s="74">
        <v>3.9186853873179932E-2</v>
      </c>
      <c r="J81" s="74">
        <v>8.6512248571968264E-2</v>
      </c>
      <c r="K81" s="74">
        <v>0.11944082959689874</v>
      </c>
      <c r="L81" s="74">
        <v>0.2152170056605808</v>
      </c>
      <c r="N81" s="108">
        <f t="shared" si="28"/>
        <v>2.0233965159390035E-2</v>
      </c>
      <c r="O81" s="108">
        <f t="shared" si="29"/>
        <v>0.2152170056605808</v>
      </c>
    </row>
    <row r="82" spans="2:15">
      <c r="B82" s="107">
        <v>4</v>
      </c>
      <c r="C82" s="31" t="s">
        <v>122</v>
      </c>
      <c r="D82" s="31" t="s">
        <v>30</v>
      </c>
      <c r="E82" s="74">
        <v>0</v>
      </c>
      <c r="F82" s="74">
        <v>1.0087490593230254E-3</v>
      </c>
      <c r="G82" s="74">
        <v>1.4838788783270076E-2</v>
      </c>
      <c r="H82" s="74">
        <v>5.2697045345583331E-2</v>
      </c>
      <c r="I82" s="74">
        <v>9.0019262850233484E-2</v>
      </c>
      <c r="J82" s="74">
        <v>0.15572202292878004</v>
      </c>
      <c r="K82" s="74">
        <v>0.26112413891693897</v>
      </c>
      <c r="L82" s="74">
        <v>0.38547328889612942</v>
      </c>
      <c r="N82" s="108">
        <f t="shared" si="28"/>
        <v>5.2697045345583331E-2</v>
      </c>
      <c r="O82" s="108">
        <f t="shared" si="29"/>
        <v>0.38547328889612942</v>
      </c>
    </row>
    <row r="83" spans="2:15">
      <c r="B83" s="107">
        <v>4</v>
      </c>
      <c r="C83" s="31" t="s">
        <v>121</v>
      </c>
      <c r="D83" s="31" t="s">
        <v>30</v>
      </c>
      <c r="E83" s="74">
        <v>0</v>
      </c>
      <c r="F83" s="74">
        <v>6.9171364067864549E-4</v>
      </c>
      <c r="G83" s="74">
        <v>1.5509371088864137E-2</v>
      </c>
      <c r="H83" s="74">
        <v>6.7338655016315543E-2</v>
      </c>
      <c r="I83" s="74">
        <v>0.11003347116902042</v>
      </c>
      <c r="J83" s="74">
        <v>0.18550104480118546</v>
      </c>
      <c r="K83" s="74">
        <v>0.30950439502494104</v>
      </c>
      <c r="L83" s="74">
        <v>0.45971239956057403</v>
      </c>
      <c r="N83" s="108">
        <f t="shared" si="28"/>
        <v>6.7338655016315543E-2</v>
      </c>
      <c r="O83" s="108">
        <f t="shared" si="29"/>
        <v>0.45971239956057403</v>
      </c>
    </row>
    <row r="84" spans="2:15">
      <c r="B84" s="107">
        <v>4</v>
      </c>
      <c r="C84" s="31" t="s">
        <v>110</v>
      </c>
      <c r="D84" s="31" t="s">
        <v>30</v>
      </c>
      <c r="E84" s="74">
        <v>0</v>
      </c>
      <c r="F84" s="74">
        <v>7.7147037980897183E-3</v>
      </c>
      <c r="G84" s="74">
        <v>5.460220337410257E-2</v>
      </c>
      <c r="H84" s="74">
        <v>0.14397912230657675</v>
      </c>
      <c r="I84" s="74">
        <v>0.2119531286537551</v>
      </c>
      <c r="J84" s="74">
        <v>0.320441098996396</v>
      </c>
      <c r="K84" s="74">
        <v>0.44688281842422289</v>
      </c>
      <c r="L84" s="74">
        <v>0.61273762344632332</v>
      </c>
      <c r="N84" s="108">
        <f t="shared" si="28"/>
        <v>0.14397912230657675</v>
      </c>
      <c r="O84" s="108">
        <f t="shared" si="29"/>
        <v>0.61273762344632332</v>
      </c>
    </row>
    <row r="85" spans="2:15">
      <c r="B85" s="107">
        <v>4</v>
      </c>
      <c r="C85" s="31" t="s">
        <v>54</v>
      </c>
      <c r="D85" s="31" t="s">
        <v>30</v>
      </c>
      <c r="E85" s="74">
        <v>0</v>
      </c>
      <c r="F85" s="74">
        <v>2.6045651860620699E-3</v>
      </c>
      <c r="G85" s="74">
        <v>2.158081939225447E-2</v>
      </c>
      <c r="H85" s="74">
        <v>8.4822141211349719E-2</v>
      </c>
      <c r="I85" s="74">
        <v>0.1265855345997062</v>
      </c>
      <c r="J85" s="74">
        <v>0.19541783350600844</v>
      </c>
      <c r="K85" s="74">
        <v>0.31463276552952812</v>
      </c>
      <c r="L85" s="74">
        <v>0.49122152081703269</v>
      </c>
      <c r="N85" s="108">
        <f t="shared" si="28"/>
        <v>8.4822141211349719E-2</v>
      </c>
      <c r="O85" s="108">
        <f t="shared" si="29"/>
        <v>0.49122152081703269</v>
      </c>
    </row>
    <row r="86" spans="2:15">
      <c r="B86" s="107">
        <v>4</v>
      </c>
      <c r="C86" s="31" t="s">
        <v>120</v>
      </c>
      <c r="D86" s="31" t="s">
        <v>30</v>
      </c>
      <c r="E86" s="74">
        <v>0</v>
      </c>
      <c r="F86" s="74">
        <v>2.0091503937892862E-3</v>
      </c>
      <c r="G86" s="74">
        <v>1.5512216654230662E-2</v>
      </c>
      <c r="H86" s="74">
        <v>5.5146408235514477E-2</v>
      </c>
      <c r="I86" s="74">
        <v>0.1162867049041789</v>
      </c>
      <c r="J86" s="74">
        <v>0.19353328728913152</v>
      </c>
      <c r="K86" s="74">
        <v>0.34667121300699133</v>
      </c>
      <c r="L86" s="74">
        <v>0.58361630877733695</v>
      </c>
      <c r="N86" s="108">
        <f t="shared" si="28"/>
        <v>5.5146408235514477E-2</v>
      </c>
      <c r="O86" s="108">
        <f t="shared" si="29"/>
        <v>0.58361630877733695</v>
      </c>
    </row>
    <row r="87" spans="2:15">
      <c r="B87" s="107">
        <v>4</v>
      </c>
      <c r="C87" s="31" t="s">
        <v>119</v>
      </c>
      <c r="D87" s="31" t="s">
        <v>30</v>
      </c>
      <c r="E87" s="74">
        <v>0</v>
      </c>
      <c r="F87" s="74">
        <v>2.1029478552645947E-2</v>
      </c>
      <c r="G87" s="74">
        <v>5.6748533533778851E-2</v>
      </c>
      <c r="H87" s="74">
        <v>0.1035879806569716</v>
      </c>
      <c r="I87" s="74">
        <v>0.16394668402842147</v>
      </c>
      <c r="J87" s="74">
        <v>0.239361955546115</v>
      </c>
      <c r="K87" s="74">
        <v>0.33759473754797548</v>
      </c>
      <c r="L87" s="74">
        <v>0.47777736045007818</v>
      </c>
      <c r="N87" s="108">
        <f t="shared" si="28"/>
        <v>0.1035879806569716</v>
      </c>
      <c r="O87" s="108">
        <f t="shared" si="29"/>
        <v>0.47777736045007818</v>
      </c>
    </row>
    <row r="88" spans="2:15">
      <c r="B88" s="107">
        <v>4</v>
      </c>
      <c r="C88" s="31" t="s">
        <v>118</v>
      </c>
      <c r="D88" s="31" t="s">
        <v>30</v>
      </c>
      <c r="E88" s="74">
        <v>0</v>
      </c>
      <c r="F88" s="74">
        <v>2.331521145775492E-3</v>
      </c>
      <c r="G88" s="74">
        <v>1.5851182570043212E-2</v>
      </c>
      <c r="H88" s="74">
        <v>5.4150186872567327E-2</v>
      </c>
      <c r="I88" s="74">
        <v>0.10668934945157853</v>
      </c>
      <c r="J88" s="74">
        <v>0.16384926017230228</v>
      </c>
      <c r="K88" s="74">
        <v>0.2642629457659425</v>
      </c>
      <c r="L88" s="74">
        <v>0.40345769785509261</v>
      </c>
      <c r="N88" s="108">
        <f t="shared" si="28"/>
        <v>5.4150186872567327E-2</v>
      </c>
      <c r="O88" s="108">
        <f t="shared" si="29"/>
        <v>0.40345769785509261</v>
      </c>
    </row>
    <row r="89" spans="2:15" s="86" customFormat="1">
      <c r="B89" s="107">
        <v>4</v>
      </c>
      <c r="C89" s="31" t="s">
        <v>117</v>
      </c>
      <c r="D89" s="31" t="s">
        <v>30</v>
      </c>
      <c r="E89" s="74">
        <v>0</v>
      </c>
      <c r="F89" s="74">
        <v>1.7532682913805358E-4</v>
      </c>
      <c r="G89" s="74">
        <v>3.0642945953432399E-3</v>
      </c>
      <c r="H89" s="74">
        <v>1.4582114009754031E-2</v>
      </c>
      <c r="I89" s="74">
        <v>3.9652233946070849E-2</v>
      </c>
      <c r="J89" s="74">
        <v>0.12076132355659441</v>
      </c>
      <c r="K89" s="74">
        <v>0.21948399405564592</v>
      </c>
      <c r="L89" s="74">
        <v>0.33304093622671999</v>
      </c>
      <c r="N89" s="108">
        <f t="shared" si="28"/>
        <v>1.4582114009754031E-2</v>
      </c>
      <c r="O89" s="108">
        <f t="shared" si="29"/>
        <v>0.33304093622671999</v>
      </c>
    </row>
    <row r="90" spans="2:15">
      <c r="B90" s="107">
        <v>4</v>
      </c>
      <c r="C90" s="31" t="s">
        <v>116</v>
      </c>
      <c r="D90" s="31" t="s">
        <v>30</v>
      </c>
      <c r="E90" s="74">
        <v>0</v>
      </c>
      <c r="F90" s="74">
        <v>2.069464633386786E-4</v>
      </c>
      <c r="G90" s="74">
        <v>3.5811453786288895E-3</v>
      </c>
      <c r="H90" s="74">
        <v>1.4877029740959538E-2</v>
      </c>
      <c r="I90" s="74">
        <v>4.3575066147669005E-2</v>
      </c>
      <c r="J90" s="74">
        <v>0.1422112478344236</v>
      </c>
      <c r="K90" s="74">
        <v>0.25333145206923491</v>
      </c>
      <c r="L90" s="74">
        <v>0.37619644412305453</v>
      </c>
      <c r="N90" s="108">
        <f t="shared" si="28"/>
        <v>1.4877029740959538E-2</v>
      </c>
      <c r="O90" s="108">
        <f t="shared" si="29"/>
        <v>0.37619644412305453</v>
      </c>
    </row>
    <row r="91" spans="2:15">
      <c r="B91" s="107">
        <v>4</v>
      </c>
      <c r="C91" s="31" t="s">
        <v>115</v>
      </c>
      <c r="D91" s="31" t="s">
        <v>30</v>
      </c>
      <c r="E91" s="74">
        <v>0</v>
      </c>
      <c r="F91" s="74">
        <v>2.069464633386789E-4</v>
      </c>
      <c r="G91" s="74">
        <v>2.8277782497943831E-3</v>
      </c>
      <c r="H91" s="74">
        <v>1.2662472406496188E-2</v>
      </c>
      <c r="I91" s="74">
        <v>4.1128659376675349E-2</v>
      </c>
      <c r="J91" s="74">
        <v>0.15179130753727768</v>
      </c>
      <c r="K91" s="74">
        <v>0.26170839767961301</v>
      </c>
      <c r="L91" s="74">
        <v>0.42273324451716748</v>
      </c>
      <c r="N91" s="108">
        <f t="shared" si="28"/>
        <v>1.2662472406496188E-2</v>
      </c>
      <c r="O91" s="108">
        <f t="shared" si="29"/>
        <v>0.42273324451716748</v>
      </c>
    </row>
    <row r="92" spans="2:15">
      <c r="B92" s="107">
        <v>4</v>
      </c>
      <c r="C92" s="31" t="s">
        <v>114</v>
      </c>
      <c r="D92" s="31" t="s">
        <v>30</v>
      </c>
      <c r="E92" s="74">
        <v>0</v>
      </c>
      <c r="F92" s="74">
        <v>2.5868307917334871E-4</v>
      </c>
      <c r="G92" s="74">
        <v>4.5492347283436494E-3</v>
      </c>
      <c r="H92" s="74">
        <v>1.5936560474177429E-2</v>
      </c>
      <c r="I92" s="74">
        <v>4.5898254067207704E-2</v>
      </c>
      <c r="J92" s="74">
        <v>0.14564207914158964</v>
      </c>
      <c r="K92" s="74">
        <v>0.24122780767264168</v>
      </c>
      <c r="L92" s="74">
        <v>0.34750000000000003</v>
      </c>
      <c r="N92" s="108">
        <f t="shared" si="28"/>
        <v>1.5936560474177429E-2</v>
      </c>
      <c r="O92" s="108">
        <f t="shared" si="29"/>
        <v>0.34750000000000003</v>
      </c>
    </row>
    <row r="93" spans="2:15">
      <c r="B93" s="107"/>
      <c r="C93" s="31"/>
      <c r="D93" s="31"/>
      <c r="E93" s="106"/>
      <c r="F93" s="106"/>
      <c r="G93" s="106"/>
      <c r="H93" s="106"/>
      <c r="I93" s="106"/>
      <c r="J93" s="106"/>
      <c r="K93" s="106"/>
      <c r="L93" s="106"/>
      <c r="N93" s="96"/>
      <c r="O93" s="96"/>
    </row>
    <row r="94" spans="2:15">
      <c r="B94" s="107"/>
      <c r="C94" s="31"/>
      <c r="D94" s="31"/>
      <c r="E94" s="106"/>
      <c r="F94" s="106"/>
      <c r="G94" s="106"/>
      <c r="H94" s="106"/>
      <c r="I94" s="106"/>
      <c r="J94" s="106"/>
      <c r="K94" s="106"/>
      <c r="L94" s="106"/>
      <c r="N94" s="23" t="s">
        <v>29</v>
      </c>
      <c r="O94" s="23"/>
    </row>
    <row r="95" spans="2:15" s="85" customFormat="1">
      <c r="B95" s="98">
        <v>4</v>
      </c>
      <c r="C95" s="97" t="s">
        <v>57</v>
      </c>
      <c r="D95" s="97" t="s">
        <v>30</v>
      </c>
      <c r="E95" s="100">
        <v>0</v>
      </c>
      <c r="F95" s="100">
        <v>1.0201217259856619E-3</v>
      </c>
      <c r="G95" s="100">
        <v>1.1552654545053557E-2</v>
      </c>
      <c r="H95" s="100">
        <v>4.2844708171364022E-2</v>
      </c>
      <c r="I95" s="100">
        <v>7.2645118579456616E-2</v>
      </c>
      <c r="J95" s="100">
        <v>0.12787060869153888</v>
      </c>
      <c r="K95" s="100">
        <v>0.20671754655105062</v>
      </c>
      <c r="L95" s="100">
        <v>0.31686248167836167</v>
      </c>
      <c r="M95" s="100"/>
      <c r="N95" s="104">
        <f t="shared" ref="N95:N102" si="30">H95</f>
        <v>4.2844708171364022E-2</v>
      </c>
      <c r="O95" s="104">
        <f t="shared" ref="O95:O102" si="31">L95</f>
        <v>0.31686248167836167</v>
      </c>
    </row>
    <row r="96" spans="2:15" s="85" customFormat="1">
      <c r="B96" s="98">
        <v>4</v>
      </c>
      <c r="C96" s="97" t="s">
        <v>113</v>
      </c>
      <c r="D96" s="105" t="s">
        <v>30</v>
      </c>
      <c r="E96" s="100">
        <v>0</v>
      </c>
      <c r="F96" s="100">
        <v>9.8569183703856923E-4</v>
      </c>
      <c r="G96" s="100">
        <v>1.2575545378265985E-2</v>
      </c>
      <c r="H96" s="100">
        <v>4.6399656807452207E-2</v>
      </c>
      <c r="I96" s="100">
        <v>7.9470025382593221E-2</v>
      </c>
      <c r="J96" s="100">
        <v>0.14146919061233448</v>
      </c>
      <c r="K96" s="100">
        <v>0.2248928243632719</v>
      </c>
      <c r="L96" s="100">
        <v>0.34303396966922228</v>
      </c>
      <c r="M96" s="100"/>
      <c r="N96" s="104">
        <f t="shared" si="30"/>
        <v>4.6399656807452207E-2</v>
      </c>
      <c r="O96" s="104">
        <f t="shared" si="31"/>
        <v>0.34303396966922228</v>
      </c>
    </row>
    <row r="97" spans="2:15">
      <c r="B97" s="103">
        <v>4</v>
      </c>
      <c r="C97" s="102" t="s">
        <v>112</v>
      </c>
      <c r="D97" s="102" t="s">
        <v>30</v>
      </c>
      <c r="E97" s="74">
        <v>0</v>
      </c>
      <c r="F97" s="74">
        <v>2.4478498567148373E-4</v>
      </c>
      <c r="G97" s="74">
        <v>3.2240992919907985E-3</v>
      </c>
      <c r="H97" s="74">
        <v>2.0233965159390035E-2</v>
      </c>
      <c r="I97" s="74">
        <v>3.9186853873179932E-2</v>
      </c>
      <c r="J97" s="74">
        <v>8.6512248571968264E-2</v>
      </c>
      <c r="K97" s="74">
        <v>0.11944082959689874</v>
      </c>
      <c r="L97" s="74">
        <v>0.2152170056605808</v>
      </c>
      <c r="M97" s="74"/>
      <c r="N97" s="101">
        <f t="shared" si="30"/>
        <v>2.0233965159390035E-2</v>
      </c>
      <c r="O97" s="101">
        <f t="shared" si="31"/>
        <v>0.2152170056605808</v>
      </c>
    </row>
    <row r="98" spans="2:15">
      <c r="B98" s="103">
        <v>4</v>
      </c>
      <c r="C98" s="102" t="s">
        <v>111</v>
      </c>
      <c r="D98" s="102" t="s">
        <v>30</v>
      </c>
      <c r="E98" s="74">
        <v>0</v>
      </c>
      <c r="F98" s="74">
        <v>9.7945633462407614E-4</v>
      </c>
      <c r="G98" s="74">
        <v>1.4900747737098473E-2</v>
      </c>
      <c r="H98" s="74">
        <v>5.4049867825381161E-2</v>
      </c>
      <c r="I98" s="74">
        <v>9.1868490601683131E-2</v>
      </c>
      <c r="J98" s="74">
        <v>0.15847347793416172</v>
      </c>
      <c r="K98" s="74">
        <v>0.26559426887622284</v>
      </c>
      <c r="L98" s="74">
        <v>0.39233266706872327</v>
      </c>
      <c r="M98" s="74"/>
      <c r="N98" s="101">
        <f t="shared" si="30"/>
        <v>5.4049867825381161E-2</v>
      </c>
      <c r="O98" s="101">
        <f t="shared" si="31"/>
        <v>0.39233266706872327</v>
      </c>
    </row>
    <row r="99" spans="2:15">
      <c r="B99" s="103">
        <v>4</v>
      </c>
      <c r="C99" s="102" t="s">
        <v>110</v>
      </c>
      <c r="D99" s="31" t="s">
        <v>30</v>
      </c>
      <c r="E99" s="74">
        <v>0</v>
      </c>
      <c r="F99" s="74">
        <v>7.7147037980897183E-3</v>
      </c>
      <c r="G99" s="74">
        <v>5.460220337410257E-2</v>
      </c>
      <c r="H99" s="74">
        <v>0.14397912230657675</v>
      </c>
      <c r="I99" s="74">
        <v>0.2119531286537551</v>
      </c>
      <c r="J99" s="74">
        <v>0.320441098996396</v>
      </c>
      <c r="K99" s="74">
        <v>0.44688281842422289</v>
      </c>
      <c r="L99" s="74">
        <v>0.61273762344632332</v>
      </c>
      <c r="M99" s="74"/>
      <c r="N99" s="101">
        <f t="shared" si="30"/>
        <v>0.14397912230657675</v>
      </c>
      <c r="O99" s="101">
        <f t="shared" si="31"/>
        <v>0.61273762344632332</v>
      </c>
    </row>
    <row r="100" spans="2:15" s="85" customFormat="1">
      <c r="B100" s="98">
        <v>4</v>
      </c>
      <c r="C100" s="97" t="s">
        <v>54</v>
      </c>
      <c r="D100" s="97" t="s">
        <v>30</v>
      </c>
      <c r="E100" s="100">
        <v>0</v>
      </c>
      <c r="F100" s="100">
        <v>2.6045651860620699E-3</v>
      </c>
      <c r="G100" s="100">
        <v>2.158081939225447E-2</v>
      </c>
      <c r="H100" s="100">
        <v>8.4822141211349719E-2</v>
      </c>
      <c r="I100" s="100">
        <v>0.1265855345997062</v>
      </c>
      <c r="J100" s="100">
        <v>0.19541783350600844</v>
      </c>
      <c r="K100" s="100">
        <v>0.31463276552952812</v>
      </c>
      <c r="L100" s="100">
        <v>0.49122152081703269</v>
      </c>
      <c r="M100" s="100"/>
      <c r="N100" s="99">
        <f t="shared" si="30"/>
        <v>8.4822141211349719E-2</v>
      </c>
      <c r="O100" s="99">
        <f t="shared" si="31"/>
        <v>0.49122152081703269</v>
      </c>
    </row>
    <row r="101" spans="2:15" s="85" customFormat="1">
      <c r="B101" s="98">
        <v>4</v>
      </c>
      <c r="C101" s="97" t="s">
        <v>53</v>
      </c>
      <c r="D101" s="97" t="s">
        <v>30</v>
      </c>
      <c r="E101" s="100">
        <v>0</v>
      </c>
      <c r="F101" s="100">
        <v>4.1528570318543415E-3</v>
      </c>
      <c r="G101" s="100">
        <v>1.9908420930843038E-2</v>
      </c>
      <c r="H101" s="100">
        <v>5.9336910630240193E-2</v>
      </c>
      <c r="I101" s="100">
        <v>0.11439136879215503</v>
      </c>
      <c r="J101" s="100">
        <v>0.17742477209828619</v>
      </c>
      <c r="K101" s="100">
        <v>0.28820205126404402</v>
      </c>
      <c r="L101" s="100">
        <v>0.44711832551520309</v>
      </c>
      <c r="M101" s="100"/>
      <c r="N101" s="99">
        <f t="shared" si="30"/>
        <v>5.9336910630240193E-2</v>
      </c>
      <c r="O101" s="99">
        <f t="shared" si="31"/>
        <v>0.44711832551520309</v>
      </c>
    </row>
    <row r="102" spans="2:15" s="85" customFormat="1">
      <c r="B102" s="98">
        <v>4</v>
      </c>
      <c r="C102" s="97" t="s">
        <v>52</v>
      </c>
      <c r="D102" s="97" t="s">
        <v>30</v>
      </c>
      <c r="E102" s="100">
        <v>0</v>
      </c>
      <c r="F102" s="100">
        <v>1.8514849459510933E-4</v>
      </c>
      <c r="G102" s="100">
        <v>3.0678242999754636E-3</v>
      </c>
      <c r="H102" s="100">
        <v>1.4230470545059342E-2</v>
      </c>
      <c r="I102" s="100">
        <v>4.0304616392134632E-2</v>
      </c>
      <c r="J102" s="100">
        <v>0.12852208535556919</v>
      </c>
      <c r="K102" s="100">
        <v>0.23026460104336402</v>
      </c>
      <c r="L102" s="100">
        <v>0.35287098577097253</v>
      </c>
      <c r="M102" s="100"/>
      <c r="N102" s="99">
        <f t="shared" si="30"/>
        <v>1.4230470545059342E-2</v>
      </c>
      <c r="O102" s="99">
        <f t="shared" si="31"/>
        <v>0.35287098577097253</v>
      </c>
    </row>
    <row r="104" spans="2:15" s="94" customFormat="1">
      <c r="B104" s="98"/>
      <c r="C104" s="97"/>
      <c r="D104" s="97"/>
      <c r="E104" s="96"/>
      <c r="F104" s="96"/>
      <c r="G104" s="96"/>
      <c r="H104" s="96"/>
      <c r="I104" s="96"/>
      <c r="J104" s="96"/>
      <c r="K104" s="96"/>
      <c r="L104" s="96"/>
      <c r="N104" s="95"/>
      <c r="O104" s="95"/>
    </row>
  </sheetData>
  <mergeCells count="1">
    <mergeCell ref="B1:O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zoomScale="80" zoomScaleNormal="80" workbookViewId="0">
      <selection activeCell="B2" sqref="B2"/>
    </sheetView>
  </sheetViews>
  <sheetFormatPr defaultRowHeight="15"/>
  <cols>
    <col min="1" max="1" width="3.28515625" customWidth="1"/>
    <col min="2" max="2" width="13.7109375" bestFit="1" customWidth="1"/>
    <col min="3" max="3" width="19.7109375" customWidth="1"/>
    <col min="4" max="4" width="30.42578125" customWidth="1"/>
    <col min="5" max="5" width="2.7109375" customWidth="1"/>
    <col min="6" max="8" width="19.42578125" customWidth="1"/>
  </cols>
  <sheetData>
    <row r="1" spans="2:8" ht="18.75">
      <c r="B1" s="116" t="s">
        <v>231</v>
      </c>
      <c r="C1" s="124"/>
      <c r="D1" s="124"/>
      <c r="E1" s="124"/>
      <c r="F1" s="124"/>
      <c r="G1" s="124"/>
      <c r="H1" s="124"/>
    </row>
    <row r="3" spans="2:8" ht="30">
      <c r="B3" s="80" t="s">
        <v>168</v>
      </c>
      <c r="C3" s="80" t="s">
        <v>167</v>
      </c>
      <c r="D3" s="123" t="s">
        <v>166</v>
      </c>
      <c r="E3" s="80"/>
      <c r="F3" s="123" t="s">
        <v>165</v>
      </c>
      <c r="G3" s="122" t="s">
        <v>164</v>
      </c>
      <c r="H3" s="121" t="s">
        <v>163</v>
      </c>
    </row>
    <row r="4" spans="2:8">
      <c r="B4" t="s">
        <v>162</v>
      </c>
      <c r="C4">
        <v>5</v>
      </c>
      <c r="D4">
        <f>F4-C4</f>
        <v>15</v>
      </c>
      <c r="F4">
        <v>20</v>
      </c>
    </row>
    <row r="5" spans="2:8">
      <c r="B5" t="s">
        <v>161</v>
      </c>
      <c r="C5">
        <v>12</v>
      </c>
      <c r="D5">
        <f>G5-C5</f>
        <v>88</v>
      </c>
      <c r="F5">
        <v>30</v>
      </c>
      <c r="G5">
        <v>100</v>
      </c>
      <c r="H5" t="s">
        <v>160</v>
      </c>
    </row>
    <row r="6" spans="2:8">
      <c r="B6" t="s">
        <v>159</v>
      </c>
      <c r="C6">
        <v>12</v>
      </c>
      <c r="D6">
        <f>F6-C6</f>
        <v>53</v>
      </c>
      <c r="F6">
        <v>65</v>
      </c>
    </row>
    <row r="7" spans="2:8">
      <c r="B7" t="s">
        <v>158</v>
      </c>
      <c r="C7">
        <v>1</v>
      </c>
      <c r="D7">
        <f>F7-C7</f>
        <v>139</v>
      </c>
      <c r="F7">
        <v>140</v>
      </c>
    </row>
    <row r="8" spans="2:8">
      <c r="B8" t="s">
        <v>157</v>
      </c>
      <c r="C8">
        <v>1</v>
      </c>
      <c r="D8">
        <f>F8-C8</f>
        <v>3</v>
      </c>
      <c r="F8">
        <v>4</v>
      </c>
    </row>
    <row r="9" spans="2:8">
      <c r="B9" t="s">
        <v>156</v>
      </c>
      <c r="C9">
        <v>5</v>
      </c>
      <c r="F9">
        <v>4</v>
      </c>
    </row>
    <row r="10" spans="2:8">
      <c r="B10" t="s">
        <v>155</v>
      </c>
      <c r="C10">
        <v>1</v>
      </c>
    </row>
    <row r="11" spans="2:8">
      <c r="B11" t="s">
        <v>154</v>
      </c>
      <c r="C11">
        <v>3</v>
      </c>
      <c r="D11">
        <f>F11-C11</f>
        <v>17</v>
      </c>
      <c r="F11">
        <v>20</v>
      </c>
    </row>
    <row r="12" spans="2:8">
      <c r="B12" t="s">
        <v>153</v>
      </c>
      <c r="C12">
        <v>3</v>
      </c>
      <c r="D12">
        <f>G12-C12</f>
        <v>72</v>
      </c>
      <c r="F12">
        <v>22</v>
      </c>
      <c r="G12">
        <v>75</v>
      </c>
      <c r="H12" t="s">
        <v>152</v>
      </c>
    </row>
    <row r="13" spans="2:8">
      <c r="B13" t="s">
        <v>151</v>
      </c>
      <c r="C13">
        <v>10</v>
      </c>
      <c r="D13">
        <f>G13</f>
        <v>3</v>
      </c>
      <c r="G13">
        <v>3</v>
      </c>
      <c r="H13" s="119" t="s">
        <v>142</v>
      </c>
    </row>
    <row r="14" spans="2:8">
      <c r="B14" t="s">
        <v>150</v>
      </c>
      <c r="C14">
        <v>4</v>
      </c>
      <c r="D14">
        <f>F14-C14</f>
        <v>1</v>
      </c>
      <c r="F14">
        <v>5</v>
      </c>
      <c r="G14" s="120"/>
      <c r="H14" s="120"/>
    </row>
    <row r="15" spans="2:8">
      <c r="B15" t="s">
        <v>149</v>
      </c>
      <c r="C15">
        <v>10</v>
      </c>
      <c r="D15">
        <f>G15</f>
        <v>5</v>
      </c>
      <c r="G15">
        <v>5</v>
      </c>
      <c r="H15" s="119" t="s">
        <v>142</v>
      </c>
    </row>
    <row r="16" spans="2:8">
      <c r="B16" t="s">
        <v>148</v>
      </c>
      <c r="C16">
        <v>2</v>
      </c>
      <c r="D16">
        <f>F16-C16</f>
        <v>19</v>
      </c>
      <c r="F16">
        <v>21</v>
      </c>
      <c r="H16" s="2"/>
    </row>
    <row r="17" spans="2:8">
      <c r="B17" t="s">
        <v>147</v>
      </c>
      <c r="H17" s="2"/>
    </row>
    <row r="18" spans="2:8">
      <c r="B18" t="s">
        <v>146</v>
      </c>
      <c r="C18">
        <v>51</v>
      </c>
      <c r="D18">
        <f>F18-C18</f>
        <v>349</v>
      </c>
      <c r="F18">
        <v>400</v>
      </c>
      <c r="H18" s="2"/>
    </row>
    <row r="19" spans="2:8">
      <c r="B19" t="s">
        <v>145</v>
      </c>
      <c r="D19">
        <f>G19</f>
        <v>1</v>
      </c>
      <c r="G19">
        <v>1</v>
      </c>
      <c r="H19" s="119" t="s">
        <v>142</v>
      </c>
    </row>
    <row r="20" spans="2:8">
      <c r="B20" t="s">
        <v>144</v>
      </c>
      <c r="D20">
        <f>G20</f>
        <v>1</v>
      </c>
      <c r="G20">
        <v>1</v>
      </c>
      <c r="H20" s="119" t="s">
        <v>142</v>
      </c>
    </row>
    <row r="21" spans="2:8">
      <c r="B21" t="s">
        <v>143</v>
      </c>
      <c r="D21">
        <f>G21</f>
        <v>1</v>
      </c>
      <c r="G21">
        <v>1</v>
      </c>
      <c r="H21" s="119" t="s">
        <v>142</v>
      </c>
    </row>
    <row r="22" spans="2:8">
      <c r="B22" t="s">
        <v>141</v>
      </c>
      <c r="D22">
        <f>F22-C22</f>
        <v>1</v>
      </c>
      <c r="F22">
        <v>1</v>
      </c>
    </row>
    <row r="23" spans="2:8">
      <c r="B23" t="s">
        <v>140</v>
      </c>
      <c r="D23">
        <f>F23-C23</f>
        <v>10</v>
      </c>
      <c r="F23">
        <v>10</v>
      </c>
    </row>
    <row r="24" spans="2:8">
      <c r="B24" t="s">
        <v>139</v>
      </c>
      <c r="D24">
        <f>F24-C24</f>
        <v>5</v>
      </c>
      <c r="F24">
        <v>5</v>
      </c>
    </row>
    <row r="25" spans="2:8">
      <c r="B25" t="s">
        <v>138</v>
      </c>
      <c r="D25">
        <v>3</v>
      </c>
    </row>
    <row r="26" spans="2:8" ht="14.1" customHeight="1">
      <c r="B26" s="97" t="s">
        <v>20</v>
      </c>
      <c r="C26" s="118">
        <f>SUM(C4:C25)</f>
        <v>120</v>
      </c>
      <c r="D26" s="118">
        <f>SUM(D4:D25)</f>
        <v>786</v>
      </c>
      <c r="E26" s="118"/>
      <c r="F26" s="117"/>
      <c r="G26" s="118"/>
      <c r="H26" s="117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"/>
  <sheetViews>
    <sheetView zoomScale="80" zoomScaleNormal="80" workbookViewId="0">
      <selection activeCell="B29" sqref="B29"/>
    </sheetView>
  </sheetViews>
  <sheetFormatPr defaultColWidth="8.85546875" defaultRowHeight="15"/>
  <cols>
    <col min="1" max="1" width="2.140625" style="60" bestFit="1" customWidth="1"/>
    <col min="2" max="2" width="28.42578125" style="60" customWidth="1"/>
    <col min="3" max="3" width="19.7109375" style="125" customWidth="1"/>
    <col min="4" max="4" width="7.42578125" style="60" customWidth="1"/>
    <col min="5" max="7" width="10.42578125" style="60" customWidth="1"/>
    <col min="8" max="8" width="7.42578125" style="60" customWidth="1"/>
    <col min="9" max="9" width="10.42578125" style="60" customWidth="1"/>
    <col min="10" max="10" width="7.42578125" style="60" customWidth="1"/>
    <col min="11" max="11" width="10.42578125" style="60" customWidth="1"/>
    <col min="12" max="12" width="3" customWidth="1"/>
    <col min="13" max="13" width="7.42578125" style="60" customWidth="1"/>
    <col min="14" max="16" width="10.42578125" style="60" customWidth="1"/>
    <col min="17" max="17" width="7.42578125" style="60" customWidth="1"/>
    <col min="18" max="18" width="10.42578125" style="60" customWidth="1"/>
    <col min="19" max="19" width="7.42578125" style="60" customWidth="1"/>
    <col min="20" max="20" width="10.42578125" style="60" customWidth="1"/>
    <col min="22" max="16384" width="8.85546875" style="60"/>
  </cols>
  <sheetData>
    <row r="1" spans="2:21" ht="18.75">
      <c r="B1" s="206" t="s">
        <v>174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3" spans="2:21">
      <c r="D3" s="68" t="s">
        <v>23</v>
      </c>
      <c r="E3" s="143"/>
      <c r="F3" s="143"/>
      <c r="G3" s="143"/>
      <c r="H3" s="143"/>
      <c r="I3" s="143"/>
      <c r="J3" s="143"/>
      <c r="K3" s="143"/>
      <c r="M3" s="30" t="s">
        <v>83</v>
      </c>
      <c r="N3" s="30"/>
      <c r="O3" s="30"/>
      <c r="P3" s="30"/>
      <c r="Q3" s="30"/>
      <c r="R3" s="30"/>
      <c r="S3" s="30"/>
      <c r="T3" s="30"/>
      <c r="U3" s="60"/>
    </row>
    <row r="4" spans="2:21">
      <c r="D4" s="142" t="s">
        <v>173</v>
      </c>
      <c r="E4" s="142"/>
      <c r="F4" s="142"/>
      <c r="G4" s="142"/>
      <c r="H4" s="142" t="s">
        <v>172</v>
      </c>
      <c r="I4" s="142"/>
      <c r="J4" s="142" t="s">
        <v>65</v>
      </c>
      <c r="K4" s="142"/>
      <c r="L4" s="92"/>
      <c r="M4" s="141" t="s">
        <v>173</v>
      </c>
      <c r="N4" s="141"/>
      <c r="O4" s="141"/>
      <c r="P4" s="141"/>
      <c r="Q4" s="141" t="s">
        <v>172</v>
      </c>
      <c r="R4" s="141"/>
      <c r="S4" s="141" t="s">
        <v>65</v>
      </c>
      <c r="T4" s="141"/>
      <c r="U4" s="60"/>
    </row>
    <row r="5" spans="2:21" s="64" customFormat="1">
      <c r="B5" s="48" t="s">
        <v>28</v>
      </c>
      <c r="C5" s="48" t="s">
        <v>68</v>
      </c>
      <c r="D5" s="48" t="s">
        <v>27</v>
      </c>
      <c r="E5" s="48">
        <v>2015</v>
      </c>
      <c r="F5" s="48">
        <v>2030</v>
      </c>
      <c r="G5" s="48">
        <v>2050</v>
      </c>
      <c r="H5" s="48" t="s">
        <v>27</v>
      </c>
      <c r="I5" s="48">
        <v>2050</v>
      </c>
      <c r="J5" s="48" t="s">
        <v>27</v>
      </c>
      <c r="K5" s="48">
        <v>2050</v>
      </c>
      <c r="L5" s="140"/>
      <c r="M5" s="48" t="s">
        <v>27</v>
      </c>
      <c r="N5" s="48">
        <f>E5</f>
        <v>2015</v>
      </c>
      <c r="O5" s="48">
        <f>F5</f>
        <v>2030</v>
      </c>
      <c r="P5" s="48">
        <f>G5</f>
        <v>2050</v>
      </c>
      <c r="Q5" s="48" t="s">
        <v>27</v>
      </c>
      <c r="R5" s="48">
        <v>2050</v>
      </c>
      <c r="S5" s="48" t="s">
        <v>27</v>
      </c>
      <c r="T5" s="48">
        <v>2050</v>
      </c>
    </row>
    <row r="6" spans="2:21" s="64" customFormat="1" ht="30">
      <c r="B6" s="64" t="s">
        <v>10</v>
      </c>
      <c r="C6" s="139" t="s">
        <v>76</v>
      </c>
      <c r="D6" s="136" t="s">
        <v>64</v>
      </c>
      <c r="E6" s="135">
        <v>4856.990665212079</v>
      </c>
      <c r="F6" s="135">
        <v>4252.9171285147704</v>
      </c>
      <c r="G6" s="135">
        <v>3759.6140126247055</v>
      </c>
      <c r="H6" s="64" t="s">
        <v>30</v>
      </c>
      <c r="I6" s="137">
        <v>0.14025324883163071</v>
      </c>
      <c r="J6" s="64" t="s">
        <v>64</v>
      </c>
      <c r="K6" s="135">
        <v>579.61923112781903</v>
      </c>
      <c r="L6" s="92"/>
      <c r="M6" s="32" t="s">
        <v>64</v>
      </c>
      <c r="N6" s="135">
        <v>4856.990665212079</v>
      </c>
      <c r="O6" s="135">
        <v>4252.9171285147704</v>
      </c>
      <c r="P6" s="135">
        <v>3759.6140126247055</v>
      </c>
      <c r="Q6" s="138" t="s">
        <v>30</v>
      </c>
      <c r="R6" s="137">
        <v>5.4920735179671477E-2</v>
      </c>
      <c r="S6" s="136" t="s">
        <v>64</v>
      </c>
      <c r="T6" s="135">
        <v>206.48076556514351</v>
      </c>
    </row>
    <row r="7" spans="2:21" ht="30">
      <c r="B7" s="60" t="s">
        <v>50</v>
      </c>
      <c r="C7" s="125" t="s">
        <v>76</v>
      </c>
      <c r="D7" s="131" t="s">
        <v>64</v>
      </c>
      <c r="E7" s="130">
        <v>3760.1297191819231</v>
      </c>
      <c r="F7" s="130">
        <v>3110.5590072025875</v>
      </c>
      <c r="G7" s="130">
        <v>2585.5255504743186</v>
      </c>
      <c r="H7" s="60" t="s">
        <v>30</v>
      </c>
      <c r="I7" s="132">
        <v>0.18</v>
      </c>
      <c r="J7" s="60" t="s">
        <v>64</v>
      </c>
      <c r="K7" s="130">
        <v>465.39459908537731</v>
      </c>
      <c r="M7" s="134" t="s">
        <v>64</v>
      </c>
      <c r="N7" s="130">
        <v>3760.1297191819231</v>
      </c>
      <c r="O7" s="130">
        <v>3110.5590072025875</v>
      </c>
      <c r="P7" s="130">
        <v>2585.5255504743186</v>
      </c>
      <c r="Q7" s="133" t="s">
        <v>30</v>
      </c>
      <c r="R7" s="132">
        <v>7.2134147377474991E-2</v>
      </c>
      <c r="S7" s="131" t="s">
        <v>64</v>
      </c>
      <c r="T7" s="130">
        <v>186.50468110614165</v>
      </c>
      <c r="U7" s="60"/>
    </row>
    <row r="8" spans="2:21" ht="30">
      <c r="B8" s="60" t="s">
        <v>49</v>
      </c>
      <c r="C8" s="125" t="s">
        <v>76</v>
      </c>
      <c r="D8" s="131" t="s">
        <v>64</v>
      </c>
      <c r="E8" s="130">
        <v>1096.8609460301561</v>
      </c>
      <c r="F8" s="130">
        <v>1142.3581213121824</v>
      </c>
      <c r="G8" s="130">
        <v>1174.0884621503869</v>
      </c>
      <c r="H8" s="60" t="s">
        <v>30</v>
      </c>
      <c r="I8" s="132">
        <v>9.7287926527474006E-2</v>
      </c>
      <c r="J8" s="60" t="s">
        <v>64</v>
      </c>
      <c r="K8" s="130">
        <v>114.2246320424418</v>
      </c>
      <c r="M8" s="134" t="s">
        <v>64</v>
      </c>
      <c r="N8" s="130">
        <v>1096.8609460301561</v>
      </c>
      <c r="O8" s="130">
        <v>1142.3581213121824</v>
      </c>
      <c r="P8" s="130">
        <v>1174.0884621503869</v>
      </c>
      <c r="Q8" s="133" t="s">
        <v>30</v>
      </c>
      <c r="R8" s="132">
        <v>1.701412210662125E-2</v>
      </c>
      <c r="S8" s="131" t="s">
        <v>64</v>
      </c>
      <c r="T8" s="130">
        <v>19.976084459001843</v>
      </c>
      <c r="U8" s="60"/>
    </row>
    <row r="9" spans="2:21">
      <c r="B9" s="60" t="s">
        <v>171</v>
      </c>
      <c r="C9" s="125" t="s">
        <v>169</v>
      </c>
      <c r="J9" s="128" t="s">
        <v>88</v>
      </c>
      <c r="K9" s="129">
        <v>7.2004197471415301</v>
      </c>
      <c r="S9" s="128" t="s">
        <v>88</v>
      </c>
      <c r="T9" s="129">
        <v>7.2004197471415301</v>
      </c>
    </row>
    <row r="10" spans="2:21">
      <c r="B10" s="60" t="s">
        <v>170</v>
      </c>
      <c r="C10" s="125" t="s">
        <v>169</v>
      </c>
      <c r="J10" s="128" t="s">
        <v>88</v>
      </c>
      <c r="K10" s="127">
        <v>45.218313847116931</v>
      </c>
      <c r="S10" s="128" t="s">
        <v>88</v>
      </c>
      <c r="T10" s="127">
        <v>13.8061394441298</v>
      </c>
      <c r="U10" s="60"/>
    </row>
    <row r="11" spans="2:21">
      <c r="B11"/>
      <c r="C11"/>
      <c r="D11" s="126"/>
      <c r="E11" s="126"/>
      <c r="F11" s="126"/>
      <c r="G11" s="126"/>
      <c r="U11" s="60"/>
    </row>
    <row r="12" spans="2:21">
      <c r="U12" s="60"/>
    </row>
    <row r="13" spans="2:21">
      <c r="U13" s="60"/>
    </row>
    <row r="14" spans="2:21">
      <c r="U14" s="60"/>
    </row>
    <row r="15" spans="2:21">
      <c r="U15" s="60"/>
    </row>
    <row r="16" spans="2:21">
      <c r="U16" s="60"/>
    </row>
    <row r="17" spans="21:21">
      <c r="U17" s="60"/>
    </row>
  </sheetData>
  <mergeCells count="1">
    <mergeCell ref="B1:T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CO2 emissions</vt:lpstr>
      <vt:lpstr>H2 demand</vt:lpstr>
      <vt:lpstr>2050 hydrogen vision</vt:lpstr>
      <vt:lpstr>Importance per subsegment 2050</vt:lpstr>
      <vt:lpstr>Roadmap milestones</vt:lpstr>
      <vt:lpstr>T_FCEV sales + HRS required</vt:lpstr>
      <vt:lpstr>T_Rampup fleet + sales</vt:lpstr>
      <vt:lpstr>T_HRS development in Europe</vt:lpstr>
      <vt:lpstr>B_Building energy demand</vt:lpstr>
      <vt:lpstr>I_Industry energy demand</vt:lpstr>
      <vt:lpstr>Investments along value chain</vt:lpstr>
      <vt:lpstr>Market size + jobs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Schwickert</dc:creator>
  <cp:lastModifiedBy>ZAFEIRATOU Eleni ( FCH )</cp:lastModifiedBy>
  <cp:lastPrinted>2019-01-09T16:41:16Z</cp:lastPrinted>
  <dcterms:created xsi:type="dcterms:W3CDTF">2019-01-09T16:02:31Z</dcterms:created>
  <dcterms:modified xsi:type="dcterms:W3CDTF">2019-08-20T14:28:45Z</dcterms:modified>
</cp:coreProperties>
</file>