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6B3" lockStructure="1"/>
  <bookViews>
    <workbookView xWindow="9180" yWindow="1935" windowWidth="7770" windowHeight="5550" tabRatio="903"/>
  </bookViews>
  <sheets>
    <sheet name="Contents" sheetId="33" r:id="rId1"/>
    <sheet name="Introduction" sheetId="37" r:id="rId2"/>
    <sheet name="Input" sheetId="10" r:id="rId3"/>
    <sheet name="Results" sheetId="30" r:id="rId4"/>
    <sheet name="Further assumptions" sheetId="39" r:id="rId5"/>
    <sheet name="Cost analysis" sheetId="16" state="hidden" r:id="rId6"/>
    <sheet name="Environmental analysis" sheetId="29" state="hidden" r:id="rId7"/>
    <sheet name="Data &gt;&gt;&gt;" sheetId="28" state="hidden" r:id="rId8"/>
    <sheet name="Price evolution" sheetId="18" state="hidden" r:id="rId9"/>
    <sheet name="Infrastructure options" sheetId="26" state="hidden" r:id="rId10"/>
  </sheets>
  <externalReferences>
    <externalReference r:id="rId11"/>
    <externalReference r:id="rId12"/>
  </externalReferences>
  <definedNames>
    <definedName name="acces1">'[1]nu se sterge'!$I$2:$I$4</definedName>
    <definedName name="Bulevardul">'[1]nu se sterge'!$H$2:$H$10</definedName>
    <definedName name="DA">'[1]nu se sterge'!$K$1:$K$2</definedName>
    <definedName name="lista" localSheetId="6">#REF!</definedName>
    <definedName name="lista" localSheetId="4">#REF!</definedName>
    <definedName name="lista" localSheetId="1">#REF!</definedName>
    <definedName name="lista" localSheetId="3">#REF!</definedName>
    <definedName name="lista">#REF!</definedName>
    <definedName name="_xlnm.Print_Area" localSheetId="0">Contents!$A$1:$N$38</definedName>
    <definedName name="_xlnm.Print_Area" localSheetId="5">'Cost analysis'!$A$1:$Y$228</definedName>
    <definedName name="_xlnm.Print_Area" localSheetId="6">'Environmental analysis'!$A$1:$W$6</definedName>
    <definedName name="_xlnm.Print_Area" localSheetId="4">'Further assumptions'!$A$1:$V$58</definedName>
    <definedName name="_xlnm.Print_Area" localSheetId="2">Input!$A$1:$V$141</definedName>
    <definedName name="_xlnm.Print_Area" localSheetId="1">Introduction!$A$1:$CN$60</definedName>
    <definedName name="_xlnm.Print_Area" localSheetId="3">Results!$A$1:$V$155</definedName>
    <definedName name="sddss" localSheetId="6">#REF!</definedName>
    <definedName name="sddss" localSheetId="4">#REF!</definedName>
    <definedName name="sddss" localSheetId="1">#REF!</definedName>
    <definedName name="sddss" localSheetId="3">#REF!</definedName>
    <definedName name="sddss">#REF!</definedName>
    <definedName name="tabel" localSheetId="6">#REF!</definedName>
    <definedName name="tabel" localSheetId="4">#REF!</definedName>
    <definedName name="tabel" localSheetId="1">#REF!</definedName>
    <definedName name="tabel" localSheetId="3">#REF!</definedName>
    <definedName name="tabel">#REF!</definedName>
    <definedName name="y">'[2]nu se sterge'!$K$1:$K$2</definedName>
    <definedName name="Z_8D9E609E_FC6C_477A_96FE_C47B8B3EE928_.wvu.Cols" localSheetId="1" hidden="1">Introduction!$H:$XFD</definedName>
    <definedName name="Z_8D9E609E_FC6C_477A_96FE_C47B8B3EE928_.wvu.PrintArea" localSheetId="1" hidden="1">Introduction!$A$1:$G$40</definedName>
    <definedName name="Z_8D9E609E_FC6C_477A_96FE_C47B8B3EE928_.wvu.Rows" localSheetId="1" hidden="1">Introduction!$41:$1048576</definedName>
  </definedNames>
  <calcPr calcId="145621"/>
</workbook>
</file>

<file path=xl/calcChain.xml><?xml version="1.0" encoding="utf-8"?>
<calcChain xmlns="http://schemas.openxmlformats.org/spreadsheetml/2006/main">
  <c r="D119" i="30" l="1"/>
  <c r="F83" i="16" l="1"/>
  <c r="G83" i="16" s="1"/>
  <c r="H83" i="16" s="1"/>
  <c r="I83" i="16" s="1"/>
  <c r="J83" i="16" s="1"/>
  <c r="K83" i="16" s="1"/>
  <c r="L83" i="16" s="1"/>
  <c r="M83" i="16" s="1"/>
  <c r="N83" i="16" s="1"/>
  <c r="O83" i="16" s="1"/>
  <c r="P83" i="16" s="1"/>
  <c r="Q83" i="16" s="1"/>
  <c r="R83" i="16" s="1"/>
  <c r="S83" i="16" s="1"/>
  <c r="T83" i="16" s="1"/>
  <c r="U83" i="16" s="1"/>
  <c r="I148" i="30" l="1"/>
  <c r="D132" i="30"/>
  <c r="D10" i="39" l="1"/>
  <c r="E114" i="10" l="1"/>
  <c r="F10" i="39"/>
  <c r="G10" i="39"/>
  <c r="H10" i="39"/>
  <c r="I10" i="39"/>
  <c r="J10" i="39"/>
  <c r="K10" i="39"/>
  <c r="L10" i="39"/>
  <c r="M10" i="39"/>
  <c r="N10" i="39"/>
  <c r="O10" i="39"/>
  <c r="P10" i="39"/>
  <c r="Q10" i="39"/>
  <c r="R10" i="39"/>
  <c r="S10" i="39"/>
  <c r="T10" i="39"/>
  <c r="E10" i="39"/>
  <c r="F9" i="39"/>
  <c r="G9" i="39" s="1"/>
  <c r="H9" i="39" s="1"/>
  <c r="I9" i="39" s="1"/>
  <c r="J9" i="39" s="1"/>
  <c r="K9" i="39" s="1"/>
  <c r="L9" i="39" s="1"/>
  <c r="M9" i="39" s="1"/>
  <c r="N9" i="39" s="1"/>
  <c r="O9" i="39" s="1"/>
  <c r="P9" i="39" s="1"/>
  <c r="Q9" i="39" s="1"/>
  <c r="R9" i="39" s="1"/>
  <c r="S9" i="39" s="1"/>
  <c r="T9" i="39" s="1"/>
  <c r="F5" i="39"/>
  <c r="G5" i="39" s="1"/>
  <c r="H5" i="39" s="1"/>
  <c r="I5" i="39" s="1"/>
  <c r="J5" i="39" s="1"/>
  <c r="K5" i="39" s="1"/>
  <c r="L5" i="39" s="1"/>
  <c r="M5" i="39" s="1"/>
  <c r="N5" i="39" s="1"/>
  <c r="O5" i="39" s="1"/>
  <c r="P5" i="39" s="1"/>
  <c r="Q5" i="39" s="1"/>
  <c r="R5" i="39" s="1"/>
  <c r="S5" i="39" s="1"/>
  <c r="T5" i="39" s="1"/>
  <c r="F14" i="18" l="1"/>
  <c r="F8" i="18"/>
  <c r="D97" i="30" l="1"/>
  <c r="D72" i="30"/>
  <c r="F36" i="30"/>
  <c r="F6" i="30"/>
  <c r="J83" i="10"/>
  <c r="J44" i="10"/>
  <c r="J30" i="10"/>
  <c r="J14" i="10"/>
  <c r="F19" i="18"/>
  <c r="R19" i="18" s="1"/>
  <c r="F18" i="18"/>
  <c r="S18" i="18" s="1"/>
  <c r="F17" i="18"/>
  <c r="T17" i="18" s="1"/>
  <c r="F16" i="18"/>
  <c r="Q16" i="18" s="1"/>
  <c r="F13" i="18"/>
  <c r="T13" i="18" s="1"/>
  <c r="F12" i="18"/>
  <c r="Q12" i="18" s="1"/>
  <c r="F11" i="18"/>
  <c r="S11" i="18" s="1"/>
  <c r="F10" i="18"/>
  <c r="G10" i="18" s="1"/>
  <c r="T14" i="18"/>
  <c r="U8" i="18"/>
  <c r="S14" i="18"/>
  <c r="O14" i="18"/>
  <c r="K14" i="18"/>
  <c r="G14" i="18"/>
  <c r="T8" i="18"/>
  <c r="S8" i="18"/>
  <c r="R8" i="18"/>
  <c r="P8" i="18"/>
  <c r="O8" i="18"/>
  <c r="N8" i="18"/>
  <c r="L8" i="18"/>
  <c r="K8" i="18"/>
  <c r="J8" i="18"/>
  <c r="H8" i="18"/>
  <c r="G8" i="18"/>
  <c r="K12" i="18" l="1"/>
  <c r="N11" i="18"/>
  <c r="T11" i="18"/>
  <c r="L11" i="18"/>
  <c r="U11" i="18"/>
  <c r="P11" i="18"/>
  <c r="I11" i="18"/>
  <c r="J11" i="18"/>
  <c r="Q11" i="18"/>
  <c r="H11" i="18"/>
  <c r="M11" i="18"/>
  <c r="R11" i="18"/>
  <c r="K17" i="18"/>
  <c r="S17" i="18"/>
  <c r="M17" i="18"/>
  <c r="U17" i="18"/>
  <c r="I17" i="18"/>
  <c r="R17" i="18"/>
  <c r="G17" i="18"/>
  <c r="N17" i="18"/>
  <c r="J17" i="18"/>
  <c r="O17" i="18"/>
  <c r="Q17" i="18"/>
  <c r="N12" i="18"/>
  <c r="R12" i="18"/>
  <c r="I12" i="18"/>
  <c r="U12" i="18"/>
  <c r="K18" i="18"/>
  <c r="M16" i="18"/>
  <c r="J19" i="18"/>
  <c r="I13" i="18"/>
  <c r="U19" i="18"/>
  <c r="Q13" i="18"/>
  <c r="J12" i="18"/>
  <c r="O12" i="18"/>
  <c r="S16" i="18"/>
  <c r="G18" i="18"/>
  <c r="T16" i="18"/>
  <c r="G12" i="18"/>
  <c r="M12" i="18"/>
  <c r="S12" i="18"/>
  <c r="I16" i="18"/>
  <c r="O18" i="18"/>
  <c r="T12" i="18"/>
  <c r="P19" i="18"/>
  <c r="J13" i="18"/>
  <c r="R13" i="18"/>
  <c r="N19" i="18"/>
  <c r="M13" i="18"/>
  <c r="U13" i="18"/>
  <c r="N16" i="18"/>
  <c r="N13" i="18"/>
  <c r="G16" i="18"/>
  <c r="R16" i="18"/>
  <c r="I19" i="18"/>
  <c r="T19" i="18"/>
  <c r="L19" i="18"/>
  <c r="Q19" i="18"/>
  <c r="S19" i="18"/>
  <c r="H19" i="18"/>
  <c r="M19" i="18"/>
  <c r="H17" i="18"/>
  <c r="L17" i="18"/>
  <c r="P17" i="18"/>
  <c r="J16" i="18"/>
  <c r="O16" i="18"/>
  <c r="U16" i="18"/>
  <c r="K16" i="18"/>
  <c r="G13" i="18"/>
  <c r="K13" i="18"/>
  <c r="O13" i="18"/>
  <c r="S13" i="18"/>
  <c r="H13" i="18"/>
  <c r="L13" i="18"/>
  <c r="P13" i="18"/>
  <c r="K10" i="18"/>
  <c r="O10" i="18"/>
  <c r="S10" i="18"/>
  <c r="T10" i="18"/>
  <c r="I10" i="18"/>
  <c r="M10" i="18"/>
  <c r="Q10" i="18"/>
  <c r="U10" i="18"/>
  <c r="I14" i="18"/>
  <c r="M14" i="18"/>
  <c r="Q14" i="18"/>
  <c r="U14" i="18"/>
  <c r="I18" i="18"/>
  <c r="M18" i="18"/>
  <c r="Q18" i="18"/>
  <c r="U18" i="18"/>
  <c r="I8" i="18"/>
  <c r="M8" i="18"/>
  <c r="Q8" i="18"/>
  <c r="J10" i="18"/>
  <c r="N10" i="18"/>
  <c r="R10" i="18"/>
  <c r="G11" i="18"/>
  <c r="K11" i="18"/>
  <c r="O11" i="18"/>
  <c r="H12" i="18"/>
  <c r="L12" i="18"/>
  <c r="P12" i="18"/>
  <c r="J14" i="18"/>
  <c r="N14" i="18"/>
  <c r="R14" i="18"/>
  <c r="H16" i="18"/>
  <c r="L16" i="18"/>
  <c r="P16" i="18"/>
  <c r="J18" i="18"/>
  <c r="N18" i="18"/>
  <c r="R18" i="18"/>
  <c r="G19" i="18"/>
  <c r="K19" i="18"/>
  <c r="O19" i="18"/>
  <c r="H10" i="18"/>
  <c r="L10" i="18"/>
  <c r="P10" i="18"/>
  <c r="H14" i="18"/>
  <c r="L14" i="18"/>
  <c r="P14" i="18"/>
  <c r="H18" i="18"/>
  <c r="L18" i="18"/>
  <c r="P18" i="18"/>
  <c r="T18" i="18"/>
  <c r="O15" i="18" l="1"/>
  <c r="I9" i="18"/>
  <c r="M9" i="18"/>
  <c r="J9" i="18"/>
  <c r="J15" i="18"/>
  <c r="Q9" i="18"/>
  <c r="S9" i="18"/>
  <c r="T15" i="18"/>
  <c r="H9" i="18"/>
  <c r="R15" i="18"/>
  <c r="N9" i="18"/>
  <c r="I15" i="18"/>
  <c r="U9" i="18"/>
  <c r="T9" i="18"/>
  <c r="S15" i="18"/>
  <c r="G15" i="18"/>
  <c r="R9" i="18"/>
  <c r="M15" i="18"/>
  <c r="N15" i="18"/>
  <c r="U15" i="18"/>
  <c r="Q15" i="18"/>
  <c r="K15" i="18"/>
  <c r="G9" i="18"/>
  <c r="K9" i="18"/>
  <c r="O9" i="18"/>
  <c r="P9" i="18"/>
  <c r="L9" i="18"/>
  <c r="P15" i="18"/>
  <c r="L15" i="18"/>
  <c r="H15" i="18"/>
  <c r="K117" i="16" l="1"/>
  <c r="P117" i="16"/>
  <c r="U117" i="16"/>
  <c r="F117" i="16"/>
  <c r="K116" i="16"/>
  <c r="P116" i="16"/>
  <c r="U116" i="16"/>
  <c r="F116" i="16"/>
  <c r="E8" i="10" l="1"/>
  <c r="E33" i="29" l="1"/>
  <c r="F122" i="16" l="1"/>
  <c r="G122" i="16"/>
  <c r="H122" i="16"/>
  <c r="H121" i="16" s="1"/>
  <c r="I122" i="16"/>
  <c r="I121" i="16" s="1"/>
  <c r="J122" i="16"/>
  <c r="K122" i="16"/>
  <c r="L122" i="16"/>
  <c r="M122" i="16"/>
  <c r="N122" i="16"/>
  <c r="O122" i="16"/>
  <c r="O121" i="16" s="1"/>
  <c r="P122" i="16"/>
  <c r="P121" i="16" s="1"/>
  <c r="Q122" i="16"/>
  <c r="Q121" i="16" s="1"/>
  <c r="R122" i="16"/>
  <c r="S122" i="16"/>
  <c r="T122" i="16"/>
  <c r="U122" i="16"/>
  <c r="U121" i="16" l="1"/>
  <c r="M121" i="16"/>
  <c r="T121" i="16"/>
  <c r="L121" i="16"/>
  <c r="S121" i="16"/>
  <c r="G121" i="16"/>
  <c r="K121" i="16"/>
  <c r="R121" i="16"/>
  <c r="N121" i="16"/>
  <c r="J121" i="16"/>
  <c r="F121" i="16"/>
  <c r="E3" i="30"/>
  <c r="U7" i="10" l="1"/>
  <c r="U6" i="10"/>
  <c r="U8" i="10" l="1"/>
  <c r="E12" i="16"/>
  <c r="U130" i="16" l="1"/>
  <c r="P130" i="16"/>
  <c r="K130" i="16"/>
  <c r="F130" i="16"/>
  <c r="F135" i="16"/>
  <c r="U135" i="16"/>
  <c r="P135" i="16"/>
  <c r="K135" i="16"/>
  <c r="U129" i="16"/>
  <c r="F129" i="16"/>
  <c r="P129" i="16"/>
  <c r="U125" i="16"/>
  <c r="P125" i="16"/>
  <c r="K125" i="16"/>
  <c r="F125" i="16"/>
  <c r="U97" i="16"/>
  <c r="P97" i="16"/>
  <c r="K97" i="16"/>
  <c r="F97" i="16"/>
  <c r="K129" i="16" l="1"/>
  <c r="G125" i="16"/>
  <c r="E122" i="30"/>
  <c r="E123" i="30"/>
  <c r="E124" i="30"/>
  <c r="G4" i="10"/>
  <c r="L97" i="16" l="1"/>
  <c r="G97" i="16"/>
  <c r="Q130" i="16"/>
  <c r="G129" i="16"/>
  <c r="G130" i="16"/>
  <c r="L130" i="16"/>
  <c r="Q129" i="16"/>
  <c r="M125" i="16"/>
  <c r="L125" i="16"/>
  <c r="G135" i="16"/>
  <c r="L135" i="16"/>
  <c r="Q135" i="16"/>
  <c r="R125" i="16"/>
  <c r="Q125" i="16"/>
  <c r="L129" i="16"/>
  <c r="Q97" i="16"/>
  <c r="H125" i="16"/>
  <c r="E17" i="29"/>
  <c r="E115" i="10"/>
  <c r="N125" i="16" l="1"/>
  <c r="S125" i="16"/>
  <c r="R97" i="16"/>
  <c r="M135" i="16"/>
  <c r="M130" i="16"/>
  <c r="H129" i="16"/>
  <c r="H97" i="16"/>
  <c r="M129" i="16"/>
  <c r="R135" i="16"/>
  <c r="H135" i="16"/>
  <c r="R129" i="16"/>
  <c r="H130" i="16"/>
  <c r="R130" i="16"/>
  <c r="M97" i="16"/>
  <c r="I125" i="16"/>
  <c r="E37" i="29"/>
  <c r="E35" i="29"/>
  <c r="E9" i="29"/>
  <c r="E23" i="29"/>
  <c r="E21" i="29"/>
  <c r="E19" i="29"/>
  <c r="E184" i="16"/>
  <c r="E185" i="16"/>
  <c r="D184" i="16"/>
  <c r="D185" i="16"/>
  <c r="D143" i="30"/>
  <c r="D135" i="30"/>
  <c r="D136" i="30"/>
  <c r="D137" i="30"/>
  <c r="D140" i="30"/>
  <c r="E191" i="16"/>
  <c r="D191" i="16"/>
  <c r="J130" i="16" l="1"/>
  <c r="I130" i="16"/>
  <c r="O129" i="16"/>
  <c r="N129" i="16"/>
  <c r="O135" i="16"/>
  <c r="N135" i="16"/>
  <c r="T125" i="16"/>
  <c r="T130" i="16"/>
  <c r="S130" i="16"/>
  <c r="T129" i="16"/>
  <c r="S129" i="16"/>
  <c r="T135" i="16"/>
  <c r="S135" i="16"/>
  <c r="O97" i="16"/>
  <c r="N97" i="16"/>
  <c r="J135" i="16"/>
  <c r="I135" i="16"/>
  <c r="J129" i="16"/>
  <c r="I129" i="16"/>
  <c r="O125" i="16"/>
  <c r="J97" i="16"/>
  <c r="I97" i="16"/>
  <c r="O130" i="16"/>
  <c r="N130" i="16"/>
  <c r="T97" i="16"/>
  <c r="S97" i="16"/>
  <c r="G134" i="30"/>
  <c r="H134" i="30" s="1"/>
  <c r="I134" i="30" s="1"/>
  <c r="J134" i="30" s="1"/>
  <c r="K134" i="30" s="1"/>
  <c r="L134" i="30" s="1"/>
  <c r="M134" i="30" s="1"/>
  <c r="N134" i="30" s="1"/>
  <c r="O134" i="30" s="1"/>
  <c r="P134" i="30" s="1"/>
  <c r="Q134" i="30" s="1"/>
  <c r="R134" i="30" s="1"/>
  <c r="S134" i="30" s="1"/>
  <c r="T134" i="30" s="1"/>
  <c r="U134" i="30" s="1"/>
  <c r="J125" i="16" l="1"/>
  <c r="G16" i="10"/>
  <c r="F5" i="10"/>
  <c r="G5" i="10" s="1"/>
  <c r="H5" i="10" s="1"/>
  <c r="I5" i="10" s="1"/>
  <c r="J5" i="10" s="1"/>
  <c r="K5" i="10" s="1"/>
  <c r="L5" i="10" s="1"/>
  <c r="M5" i="10" s="1"/>
  <c r="N5" i="10" s="1"/>
  <c r="O5" i="10" s="1"/>
  <c r="P5" i="10" s="1"/>
  <c r="Q5" i="10" s="1"/>
  <c r="R5" i="10" s="1"/>
  <c r="S5" i="10" s="1"/>
  <c r="T5" i="10" s="1"/>
  <c r="F8" i="10"/>
  <c r="G8" i="10"/>
  <c r="H8" i="10"/>
  <c r="I8" i="10"/>
  <c r="J8" i="10"/>
  <c r="K8" i="10"/>
  <c r="L8" i="10"/>
  <c r="M8" i="10"/>
  <c r="N8" i="10"/>
  <c r="O8" i="10"/>
  <c r="P8" i="10"/>
  <c r="Q8" i="10"/>
  <c r="R8" i="10"/>
  <c r="S8" i="10"/>
  <c r="T8" i="10"/>
  <c r="F28" i="18" l="1"/>
  <c r="F30" i="18"/>
  <c r="I40" i="18"/>
  <c r="I41" i="18"/>
  <c r="E84" i="10" l="1"/>
  <c r="N28" i="18"/>
  <c r="Q28" i="18"/>
  <c r="F36" i="18"/>
  <c r="I36" i="18" s="1"/>
  <c r="N36" i="18" s="1"/>
  <c r="F37" i="18"/>
  <c r="I37" i="18" s="1"/>
  <c r="N37" i="18" s="1"/>
  <c r="G43" i="18"/>
  <c r="H43" i="18" s="1"/>
  <c r="I43" i="18" s="1"/>
  <c r="T51" i="18"/>
  <c r="U44" i="18" l="1"/>
  <c r="H17" i="39"/>
  <c r="U45" i="18"/>
  <c r="H18" i="39"/>
  <c r="G36" i="18"/>
  <c r="L36" i="18" s="1"/>
  <c r="G37" i="18"/>
  <c r="L37" i="18" s="1"/>
  <c r="K36" i="18"/>
  <c r="K37" i="18"/>
  <c r="H37" i="18"/>
  <c r="M37" i="18" s="1"/>
  <c r="H36" i="18"/>
  <c r="M36" i="18" s="1"/>
  <c r="J43" i="18"/>
  <c r="F89" i="29"/>
  <c r="F44" i="18" l="1"/>
  <c r="E17" i="39"/>
  <c r="P44" i="18"/>
  <c r="Q44" i="18" s="1"/>
  <c r="R44" i="18" s="1"/>
  <c r="S44" i="18" s="1"/>
  <c r="T44" i="18" s="1"/>
  <c r="G17" i="39"/>
  <c r="F45" i="18"/>
  <c r="E18" i="39"/>
  <c r="K45" i="18"/>
  <c r="F18" i="39"/>
  <c r="P45" i="18"/>
  <c r="Q45" i="18" s="1"/>
  <c r="R45" i="18" s="1"/>
  <c r="S45" i="18" s="1"/>
  <c r="T45" i="18" s="1"/>
  <c r="G18" i="39"/>
  <c r="K44" i="18"/>
  <c r="F17" i="39"/>
  <c r="K43" i="18"/>
  <c r="E44" i="16"/>
  <c r="F103" i="16" s="1"/>
  <c r="D44" i="16"/>
  <c r="G44" i="18" l="1"/>
  <c r="H44" i="18" s="1"/>
  <c r="I44" i="18" s="1"/>
  <c r="J44" i="18" s="1"/>
  <c r="G45" i="18"/>
  <c r="H45" i="18" s="1"/>
  <c r="I45" i="18" s="1"/>
  <c r="J45" i="18" s="1"/>
  <c r="L45" i="18"/>
  <c r="M45" i="18" s="1"/>
  <c r="N45" i="18" s="1"/>
  <c r="O45" i="18" s="1"/>
  <c r="L44" i="18"/>
  <c r="M44" i="18" s="1"/>
  <c r="N44" i="18" s="1"/>
  <c r="O44" i="18" s="1"/>
  <c r="L43" i="18"/>
  <c r="M43" i="18" s="1"/>
  <c r="F93" i="29"/>
  <c r="G88" i="29"/>
  <c r="G89" i="29" s="1"/>
  <c r="G90" i="29"/>
  <c r="L90" i="29"/>
  <c r="M90" i="29" s="1"/>
  <c r="Q90" i="29"/>
  <c r="F91" i="29"/>
  <c r="F95" i="29"/>
  <c r="G99" i="29"/>
  <c r="H99" i="29" s="1"/>
  <c r="I99" i="29" s="1"/>
  <c r="J99" i="29" s="1"/>
  <c r="G101" i="29"/>
  <c r="H101" i="29" s="1"/>
  <c r="I101" i="29" s="1"/>
  <c r="J101" i="29" s="1"/>
  <c r="K101" i="29" s="1"/>
  <c r="L101" i="29" s="1"/>
  <c r="M101" i="29" s="1"/>
  <c r="N101" i="29" s="1"/>
  <c r="O101" i="29" s="1"/>
  <c r="P101" i="29" s="1"/>
  <c r="Q101" i="29" s="1"/>
  <c r="R101" i="29" s="1"/>
  <c r="S101" i="29" s="1"/>
  <c r="T101" i="29" s="1"/>
  <c r="U101" i="29" s="1"/>
  <c r="N43" i="18" l="1"/>
  <c r="F97" i="29"/>
  <c r="H88" i="29"/>
  <c r="H89" i="29" s="1"/>
  <c r="G93" i="29"/>
  <c r="K99" i="29"/>
  <c r="H90" i="29"/>
  <c r="R90" i="29"/>
  <c r="N90" i="29"/>
  <c r="O43" i="18" l="1"/>
  <c r="G91" i="29"/>
  <c r="G97" i="29"/>
  <c r="G95" i="29"/>
  <c r="I88" i="29"/>
  <c r="H95" i="29"/>
  <c r="O90" i="29"/>
  <c r="I90" i="29"/>
  <c r="L99" i="29"/>
  <c r="S90" i="29"/>
  <c r="J88" i="29" l="1"/>
  <c r="I89" i="29"/>
  <c r="I95" i="29" s="1"/>
  <c r="P43" i="18"/>
  <c r="H91" i="29"/>
  <c r="H97" i="29"/>
  <c r="H93" i="29"/>
  <c r="J90" i="29"/>
  <c r="T90" i="29"/>
  <c r="M99" i="29"/>
  <c r="K88" i="29" l="1"/>
  <c r="J89" i="29"/>
  <c r="J95" i="29" s="1"/>
  <c r="Q43" i="18"/>
  <c r="R43" i="18" s="1"/>
  <c r="I93" i="29"/>
  <c r="I91" i="29"/>
  <c r="I97" i="29"/>
  <c r="N99" i="29"/>
  <c r="J93" i="29" l="1"/>
  <c r="J97" i="29"/>
  <c r="J91" i="29"/>
  <c r="L88" i="29"/>
  <c r="K89" i="29"/>
  <c r="K97" i="29" s="1"/>
  <c r="S43" i="18"/>
  <c r="O99" i="29"/>
  <c r="K93" i="29" l="1"/>
  <c r="K91" i="29"/>
  <c r="K95" i="29"/>
  <c r="M88" i="29"/>
  <c r="L89" i="29"/>
  <c r="L97" i="29" s="1"/>
  <c r="T43" i="18"/>
  <c r="P99" i="29"/>
  <c r="L93" i="29" l="1"/>
  <c r="L91" i="29"/>
  <c r="L95" i="29"/>
  <c r="N88" i="29"/>
  <c r="M89" i="29"/>
  <c r="M95" i="29" s="1"/>
  <c r="U43" i="18"/>
  <c r="Q99" i="29"/>
  <c r="M93" i="29" l="1"/>
  <c r="M91" i="29"/>
  <c r="M97" i="29"/>
  <c r="O88" i="29"/>
  <c r="N89" i="29"/>
  <c r="N93" i="29" s="1"/>
  <c r="R99" i="29"/>
  <c r="N95" i="29" l="1"/>
  <c r="N97" i="29"/>
  <c r="N91" i="29"/>
  <c r="P88" i="29"/>
  <c r="O89" i="29"/>
  <c r="O95" i="29" s="1"/>
  <c r="S99" i="29"/>
  <c r="O97" i="29" l="1"/>
  <c r="O93" i="29"/>
  <c r="O91" i="29"/>
  <c r="Q88" i="29"/>
  <c r="P89" i="29"/>
  <c r="P97" i="29" s="1"/>
  <c r="T99" i="29"/>
  <c r="P95" i="29" l="1"/>
  <c r="P93" i="29"/>
  <c r="P91" i="29"/>
  <c r="R88" i="29"/>
  <c r="Q89" i="29"/>
  <c r="Q97" i="29" s="1"/>
  <c r="U99" i="29"/>
  <c r="Q95" i="29" l="1"/>
  <c r="Q91" i="29"/>
  <c r="Q93" i="29"/>
  <c r="S88" i="29"/>
  <c r="R89" i="29"/>
  <c r="R91" i="29" s="1"/>
  <c r="R95" i="29" l="1"/>
  <c r="R93" i="29"/>
  <c r="R97" i="29"/>
  <c r="T88" i="29"/>
  <c r="S89" i="29"/>
  <c r="S95" i="29" s="1"/>
  <c r="S97" i="29" l="1"/>
  <c r="S93" i="29"/>
  <c r="S91" i="29"/>
  <c r="U88" i="29"/>
  <c r="U89" i="29" s="1"/>
  <c r="U97" i="29" s="1"/>
  <c r="T89" i="29"/>
  <c r="T93" i="29" s="1"/>
  <c r="T91" i="29" l="1"/>
  <c r="T97" i="29"/>
  <c r="T95" i="29"/>
  <c r="U95" i="29"/>
  <c r="U93" i="29"/>
  <c r="U91" i="29"/>
  <c r="E9" i="16" l="1"/>
  <c r="E41" i="16" l="1"/>
  <c r="F175" i="16" s="1"/>
  <c r="E42" i="16"/>
  <c r="D41" i="16"/>
  <c r="D42" i="16"/>
  <c r="E196" i="16"/>
  <c r="E197" i="16"/>
  <c r="D196" i="16"/>
  <c r="D197" i="16"/>
  <c r="E194" i="16"/>
  <c r="E195" i="16"/>
  <c r="D194" i="16"/>
  <c r="D195" i="16"/>
  <c r="D192" i="16"/>
  <c r="E189" i="16"/>
  <c r="D189" i="16"/>
  <c r="E188" i="16"/>
  <c r="E190" i="16"/>
  <c r="D188" i="16"/>
  <c r="D190" i="16"/>
  <c r="E187" i="16"/>
  <c r="D187" i="16"/>
  <c r="E182" i="16"/>
  <c r="E183" i="16"/>
  <c r="E186" i="16"/>
  <c r="D182" i="16"/>
  <c r="D183" i="16"/>
  <c r="D186" i="16"/>
  <c r="D181" i="16"/>
  <c r="E181" i="16"/>
  <c r="E180" i="16"/>
  <c r="D180" i="16"/>
  <c r="G198" i="16"/>
  <c r="H198" i="16" s="1"/>
  <c r="I198" i="16" s="1"/>
  <c r="J198" i="16" s="1"/>
  <c r="G42" i="16"/>
  <c r="H58" i="29"/>
  <c r="H31" i="29"/>
  <c r="E31" i="29"/>
  <c r="Z14" i="26" l="1"/>
  <c r="Z10" i="26"/>
  <c r="Z18" i="26"/>
  <c r="Z6" i="26"/>
  <c r="Z19" i="26"/>
  <c r="Z11" i="26"/>
  <c r="Z7" i="26"/>
  <c r="Z15" i="26"/>
  <c r="Z20" i="26"/>
  <c r="Z12" i="26"/>
  <c r="Z8" i="26"/>
  <c r="Z16" i="26"/>
  <c r="Z9" i="26"/>
  <c r="J214" i="16"/>
  <c r="F214" i="16"/>
  <c r="I214" i="16"/>
  <c r="G214" i="16"/>
  <c r="H214" i="16"/>
  <c r="K198" i="16"/>
  <c r="L198" i="16" s="1"/>
  <c r="G175" i="16"/>
  <c r="H175" i="16" s="1"/>
  <c r="I175" i="16" s="1"/>
  <c r="J175" i="16" s="1"/>
  <c r="K175" i="16" s="1"/>
  <c r="L175" i="16" s="1"/>
  <c r="M175" i="16" s="1"/>
  <c r="N175" i="16" s="1"/>
  <c r="O175" i="16" s="1"/>
  <c r="P175" i="16" s="1"/>
  <c r="Q175" i="16" s="1"/>
  <c r="R175" i="16" s="1"/>
  <c r="S175" i="16" s="1"/>
  <c r="T175" i="16" s="1"/>
  <c r="U175" i="16" s="1"/>
  <c r="G225" i="16"/>
  <c r="F225" i="16"/>
  <c r="J225" i="16"/>
  <c r="I225" i="16"/>
  <c r="H225" i="16"/>
  <c r="I202" i="16"/>
  <c r="G202" i="16"/>
  <c r="I216" i="16"/>
  <c r="H202" i="16"/>
  <c r="F216" i="16"/>
  <c r="J216" i="16"/>
  <c r="G216" i="16"/>
  <c r="F202" i="16"/>
  <c r="J202" i="16"/>
  <c r="H216" i="16"/>
  <c r="G204" i="16"/>
  <c r="I204" i="16"/>
  <c r="F204" i="16"/>
  <c r="J204" i="16"/>
  <c r="H204" i="16"/>
  <c r="Z13" i="26"/>
  <c r="Z17" i="26"/>
  <c r="Z31" i="26"/>
  <c r="Z35" i="26"/>
  <c r="Z23" i="26"/>
  <c r="Z27" i="26"/>
  <c r="Z22" i="26"/>
  <c r="Z26" i="26"/>
  <c r="Z30" i="26"/>
  <c r="Z34" i="26"/>
  <c r="Z24" i="26"/>
  <c r="Z28" i="26"/>
  <c r="Z32" i="26"/>
  <c r="Z36" i="26"/>
  <c r="Z21" i="26"/>
  <c r="Z25" i="26"/>
  <c r="Z29" i="26"/>
  <c r="Z33" i="26"/>
  <c r="Z37" i="26"/>
  <c r="D19" i="16"/>
  <c r="D20" i="16"/>
  <c r="D21" i="16"/>
  <c r="E19" i="16"/>
  <c r="E20" i="16"/>
  <c r="E21" i="16"/>
  <c r="I219" i="16" l="1"/>
  <c r="J219" i="16"/>
  <c r="F219" i="16"/>
  <c r="L219" i="16"/>
  <c r="G219" i="16"/>
  <c r="K219" i="16"/>
  <c r="H219" i="16"/>
  <c r="H207" i="16"/>
  <c r="L207" i="16"/>
  <c r="I207" i="16"/>
  <c r="J207" i="16"/>
  <c r="F207" i="16"/>
  <c r="G207" i="16"/>
  <c r="K207" i="16"/>
  <c r="K204" i="16"/>
  <c r="K214" i="16"/>
  <c r="L214" i="16"/>
  <c r="K216" i="16"/>
  <c r="M198" i="16"/>
  <c r="M219" i="16" s="1"/>
  <c r="L225" i="16"/>
  <c r="L216" i="16"/>
  <c r="L202" i="16"/>
  <c r="L204" i="16"/>
  <c r="K202" i="16"/>
  <c r="K225" i="16"/>
  <c r="M207" i="16" l="1"/>
  <c r="M214" i="16"/>
  <c r="N198" i="16"/>
  <c r="M225" i="16"/>
  <c r="M204" i="16"/>
  <c r="M202" i="16"/>
  <c r="M216" i="16"/>
  <c r="N219" i="16" l="1"/>
  <c r="N207" i="16"/>
  <c r="N214" i="16"/>
  <c r="O198" i="16"/>
  <c r="N225" i="16"/>
  <c r="N202" i="16"/>
  <c r="N216" i="16"/>
  <c r="N204" i="16"/>
  <c r="O207" i="16" l="1"/>
  <c r="O219" i="16"/>
  <c r="O214" i="16"/>
  <c r="P198" i="16"/>
  <c r="O216" i="16"/>
  <c r="O204" i="16"/>
  <c r="O225" i="16"/>
  <c r="O202" i="16"/>
  <c r="P219" i="16" l="1"/>
  <c r="P207" i="16"/>
  <c r="P214" i="16"/>
  <c r="Q198" i="16"/>
  <c r="P216" i="16"/>
  <c r="P204" i="16"/>
  <c r="P225" i="16"/>
  <c r="P202" i="16"/>
  <c r="F133" i="16"/>
  <c r="K133" i="16"/>
  <c r="P133" i="16"/>
  <c r="U133" i="16"/>
  <c r="U126" i="16"/>
  <c r="P126" i="16"/>
  <c r="K126" i="16"/>
  <c r="F126" i="16"/>
  <c r="U98" i="16"/>
  <c r="P98" i="16"/>
  <c r="K98" i="16"/>
  <c r="F98" i="16"/>
  <c r="Q219" i="16" l="1"/>
  <c r="Q207" i="16"/>
  <c r="Q126" i="16"/>
  <c r="Q214" i="16"/>
  <c r="R198" i="16"/>
  <c r="Q204" i="16"/>
  <c r="Q202" i="16"/>
  <c r="Q216" i="16"/>
  <c r="Q225" i="16"/>
  <c r="R219" i="16" l="1"/>
  <c r="R207" i="16"/>
  <c r="R214" i="16"/>
  <c r="S198" i="16"/>
  <c r="R216" i="16"/>
  <c r="R225" i="16"/>
  <c r="R202" i="16"/>
  <c r="R204" i="16"/>
  <c r="R133" i="16" l="1"/>
  <c r="Q133" i="16"/>
  <c r="M133" i="16"/>
  <c r="L133" i="16"/>
  <c r="G133" i="16"/>
  <c r="S219" i="16"/>
  <c r="S207" i="16"/>
  <c r="S214" i="16"/>
  <c r="T198" i="16"/>
  <c r="S216" i="16"/>
  <c r="S202" i="16"/>
  <c r="S204" i="16"/>
  <c r="S225" i="16"/>
  <c r="O133" i="16" l="1"/>
  <c r="T133" i="16"/>
  <c r="S133" i="16"/>
  <c r="H133" i="16"/>
  <c r="T219" i="16"/>
  <c r="T207" i="16"/>
  <c r="T214" i="16"/>
  <c r="U198" i="16"/>
  <c r="T202" i="16"/>
  <c r="T216" i="16"/>
  <c r="T204" i="16"/>
  <c r="T225" i="16"/>
  <c r="N133" i="16" l="1"/>
  <c r="G126" i="16"/>
  <c r="L126" i="16"/>
  <c r="R126" i="16"/>
  <c r="J133" i="16"/>
  <c r="I133" i="16"/>
  <c r="U219" i="16"/>
  <c r="U207" i="16"/>
  <c r="U214" i="16"/>
  <c r="U202" i="16"/>
  <c r="U225" i="16"/>
  <c r="U216" i="16"/>
  <c r="U204" i="16"/>
  <c r="M126" i="16" l="1"/>
  <c r="T126" i="16"/>
  <c r="S126" i="16"/>
  <c r="H126" i="16"/>
  <c r="E51" i="10"/>
  <c r="E25" i="16"/>
  <c r="F60" i="29"/>
  <c r="J126" i="16" l="1"/>
  <c r="I126" i="16"/>
  <c r="O126" i="16"/>
  <c r="N126" i="16"/>
  <c r="G221" i="16"/>
  <c r="J221" i="16"/>
  <c r="H221" i="16"/>
  <c r="I221" i="16"/>
  <c r="F221" i="16"/>
  <c r="R123" i="30" s="1"/>
  <c r="L221" i="16"/>
  <c r="K221" i="16"/>
  <c r="S123" i="30" s="1"/>
  <c r="M221" i="16"/>
  <c r="N221" i="16"/>
  <c r="O221" i="16"/>
  <c r="P221" i="16"/>
  <c r="T123" i="30" s="1"/>
  <c r="Q221" i="16"/>
  <c r="R221" i="16"/>
  <c r="S221" i="16"/>
  <c r="T221" i="16"/>
  <c r="U221" i="16"/>
  <c r="U123" i="30" s="1"/>
  <c r="F209" i="16"/>
  <c r="N123" i="30" s="1"/>
  <c r="I209" i="16"/>
  <c r="H209" i="16"/>
  <c r="G209" i="16"/>
  <c r="J209" i="16"/>
  <c r="L209" i="16"/>
  <c r="K209" i="16"/>
  <c r="O123" i="30" s="1"/>
  <c r="M209" i="16"/>
  <c r="N209" i="16"/>
  <c r="O209" i="16"/>
  <c r="P209" i="16"/>
  <c r="P123" i="30" s="1"/>
  <c r="Q209" i="16"/>
  <c r="R209" i="16"/>
  <c r="S209" i="16"/>
  <c r="T209" i="16"/>
  <c r="U209" i="16"/>
  <c r="Q123" i="30" s="1"/>
  <c r="H46" i="29"/>
  <c r="H77" i="29"/>
  <c r="E27" i="29" l="1"/>
  <c r="D17" i="16"/>
  <c r="E17" i="16"/>
  <c r="D27" i="16"/>
  <c r="E27" i="16"/>
  <c r="D28" i="16"/>
  <c r="E28" i="16"/>
  <c r="E29" i="29" l="1"/>
  <c r="H81" i="29" s="1"/>
  <c r="E18" i="16"/>
  <c r="I206" i="16" s="1"/>
  <c r="E29" i="16"/>
  <c r="Q25" i="18"/>
  <c r="L25" i="18"/>
  <c r="G25" i="18"/>
  <c r="Q24" i="18"/>
  <c r="L24" i="18"/>
  <c r="G24" i="18"/>
  <c r="G23" i="18"/>
  <c r="H23" i="18" s="1"/>
  <c r="I23" i="18" s="1"/>
  <c r="J23" i="18" s="1"/>
  <c r="K23" i="18" s="1"/>
  <c r="L23" i="18" s="1"/>
  <c r="M23" i="18" s="1"/>
  <c r="N23" i="18" s="1"/>
  <c r="O23" i="18" s="1"/>
  <c r="P23" i="18" s="1"/>
  <c r="Q23" i="18" s="1"/>
  <c r="R23" i="18" s="1"/>
  <c r="S23" i="18" s="1"/>
  <c r="T23" i="18" s="1"/>
  <c r="U23" i="18" s="1"/>
  <c r="F81" i="29" l="1"/>
  <c r="E53" i="10" s="1"/>
  <c r="J85" i="29"/>
  <c r="L85" i="29"/>
  <c r="G85" i="29"/>
  <c r="U85" i="29"/>
  <c r="I85" i="29"/>
  <c r="S85" i="29"/>
  <c r="H85" i="29"/>
  <c r="M85" i="29"/>
  <c r="R85" i="29"/>
  <c r="T85" i="29"/>
  <c r="F85" i="29"/>
  <c r="E54" i="10" s="1"/>
  <c r="K85" i="29"/>
  <c r="P85" i="29"/>
  <c r="Q85" i="29"/>
  <c r="N85" i="29"/>
  <c r="O85" i="29"/>
  <c r="U81" i="29"/>
  <c r="T81" i="29"/>
  <c r="S81" i="29"/>
  <c r="O81" i="29"/>
  <c r="R81" i="29"/>
  <c r="Q81" i="29"/>
  <c r="P81" i="29"/>
  <c r="K81" i="29"/>
  <c r="N81" i="29"/>
  <c r="M81" i="29"/>
  <c r="L81" i="29"/>
  <c r="G81" i="29"/>
  <c r="J81" i="29"/>
  <c r="I81" i="29"/>
  <c r="H25" i="18"/>
  <c r="G117" i="16"/>
  <c r="G98" i="16"/>
  <c r="H24" i="18"/>
  <c r="G116" i="16"/>
  <c r="M25" i="18"/>
  <c r="L117" i="16"/>
  <c r="L98" i="16"/>
  <c r="M24" i="18"/>
  <c r="L116" i="16"/>
  <c r="R25" i="18"/>
  <c r="Q117" i="16"/>
  <c r="Q98" i="16"/>
  <c r="R24" i="18"/>
  <c r="Q116" i="16"/>
  <c r="G206" i="16"/>
  <c r="H218" i="16"/>
  <c r="P206" i="16"/>
  <c r="P126" i="30" s="1"/>
  <c r="O206" i="16"/>
  <c r="F218" i="16"/>
  <c r="R126" i="30" s="1"/>
  <c r="R218" i="16"/>
  <c r="M206" i="16"/>
  <c r="J218" i="16"/>
  <c r="N218" i="16"/>
  <c r="T206" i="16"/>
  <c r="F206" i="16"/>
  <c r="N126" i="30" s="1"/>
  <c r="S206" i="16"/>
  <c r="Q218" i="16"/>
  <c r="M218" i="16"/>
  <c r="R206" i="16"/>
  <c r="I218" i="16"/>
  <c r="T218" i="16"/>
  <c r="L218" i="16"/>
  <c r="H206" i="16"/>
  <c r="G218" i="16"/>
  <c r="K218" i="16"/>
  <c r="S126" i="30" s="1"/>
  <c r="U218" i="16"/>
  <c r="U126" i="30" s="1"/>
  <c r="J206" i="16"/>
  <c r="Q206" i="16"/>
  <c r="P218" i="16"/>
  <c r="T126" i="30" s="1"/>
  <c r="L206" i="16"/>
  <c r="K206" i="16"/>
  <c r="O126" i="30" s="1"/>
  <c r="N206" i="16"/>
  <c r="U206" i="16"/>
  <c r="Q126" i="30" s="1"/>
  <c r="O218" i="16"/>
  <c r="S218" i="16"/>
  <c r="H82" i="29" l="1"/>
  <c r="H61" i="29" s="1"/>
  <c r="K86" i="29"/>
  <c r="K64" i="29" s="1"/>
  <c r="N24" i="18"/>
  <c r="M116" i="16"/>
  <c r="H98" i="16"/>
  <c r="R98" i="16"/>
  <c r="N25" i="18"/>
  <c r="M117" i="16"/>
  <c r="S24" i="18"/>
  <c r="R116" i="16"/>
  <c r="S25" i="18"/>
  <c r="R117" i="16"/>
  <c r="M98" i="16"/>
  <c r="I24" i="18"/>
  <c r="H116" i="16"/>
  <c r="I25" i="18"/>
  <c r="H117" i="16"/>
  <c r="F62" i="29"/>
  <c r="F63" i="29"/>
  <c r="F65" i="29"/>
  <c r="L82" i="29" l="1"/>
  <c r="L61" i="29" s="1"/>
  <c r="R82" i="29"/>
  <c r="R61" i="29" s="1"/>
  <c r="I82" i="29"/>
  <c r="I61" i="29" s="1"/>
  <c r="J82" i="29"/>
  <c r="J61" i="29" s="1"/>
  <c r="F82" i="29"/>
  <c r="F61" i="29" s="1"/>
  <c r="P82" i="29"/>
  <c r="P61" i="29" s="1"/>
  <c r="Q82" i="29"/>
  <c r="Q61" i="29" s="1"/>
  <c r="O82" i="29"/>
  <c r="O61" i="29" s="1"/>
  <c r="O86" i="29"/>
  <c r="O64" i="29" s="1"/>
  <c r="I86" i="29"/>
  <c r="I64" i="29" s="1"/>
  <c r="G86" i="29"/>
  <c r="G64" i="29" s="1"/>
  <c r="F86" i="29"/>
  <c r="F64" i="29" s="1"/>
  <c r="U86" i="29"/>
  <c r="U64" i="29" s="1"/>
  <c r="P86" i="29"/>
  <c r="P64" i="29" s="1"/>
  <c r="N86" i="29"/>
  <c r="N64" i="29" s="1"/>
  <c r="S86" i="29"/>
  <c r="S64" i="29" s="1"/>
  <c r="M86" i="29"/>
  <c r="M64" i="29" s="1"/>
  <c r="K82" i="29"/>
  <c r="K61" i="29" s="1"/>
  <c r="U82" i="29"/>
  <c r="U61" i="29" s="1"/>
  <c r="T82" i="29"/>
  <c r="T61" i="29" s="1"/>
  <c r="L86" i="29"/>
  <c r="L64" i="29" s="1"/>
  <c r="T86" i="29"/>
  <c r="T64" i="29" s="1"/>
  <c r="H86" i="29"/>
  <c r="H64" i="29" s="1"/>
  <c r="J86" i="29"/>
  <c r="J64" i="29" s="1"/>
  <c r="S82" i="29"/>
  <c r="S61" i="29" s="1"/>
  <c r="R86" i="29"/>
  <c r="R64" i="29" s="1"/>
  <c r="Q86" i="29"/>
  <c r="Q64" i="29" s="1"/>
  <c r="G82" i="29"/>
  <c r="G61" i="29" s="1"/>
  <c r="N82" i="29"/>
  <c r="N61" i="29" s="1"/>
  <c r="M82" i="29"/>
  <c r="M61" i="29" s="1"/>
  <c r="P62" i="29"/>
  <c r="Q62" i="29"/>
  <c r="R62" i="29"/>
  <c r="S62" i="29"/>
  <c r="N62" i="29"/>
  <c r="T62" i="29"/>
  <c r="U62" i="29"/>
  <c r="G62" i="29"/>
  <c r="M62" i="29"/>
  <c r="H62" i="29"/>
  <c r="I62" i="29"/>
  <c r="J62" i="29"/>
  <c r="K62" i="29"/>
  <c r="L62" i="29"/>
  <c r="O62" i="29"/>
  <c r="H65" i="29"/>
  <c r="L65" i="29"/>
  <c r="P65" i="29"/>
  <c r="T65" i="29"/>
  <c r="J65" i="29"/>
  <c r="G65" i="29"/>
  <c r="I65" i="29"/>
  <c r="M65" i="29"/>
  <c r="Q65" i="29"/>
  <c r="U65" i="29"/>
  <c r="N65" i="29"/>
  <c r="K65" i="29"/>
  <c r="O65" i="29"/>
  <c r="S65" i="29"/>
  <c r="R65" i="29"/>
  <c r="J24" i="18"/>
  <c r="J116" i="16" s="1"/>
  <c r="I116" i="16"/>
  <c r="T25" i="18"/>
  <c r="T117" i="16" s="1"/>
  <c r="S117" i="16"/>
  <c r="O25" i="18"/>
  <c r="O117" i="16" s="1"/>
  <c r="N117" i="16"/>
  <c r="J98" i="16"/>
  <c r="I98" i="16"/>
  <c r="J25" i="18"/>
  <c r="J117" i="16" s="1"/>
  <c r="I117" i="16"/>
  <c r="O98" i="16"/>
  <c r="N98" i="16"/>
  <c r="T24" i="18"/>
  <c r="T116" i="16" s="1"/>
  <c r="S116" i="16"/>
  <c r="T98" i="16"/>
  <c r="S98" i="16"/>
  <c r="O24" i="18"/>
  <c r="O116" i="16" s="1"/>
  <c r="N116" i="16"/>
  <c r="F102" i="29"/>
  <c r="U84" i="29"/>
  <c r="U83" i="29"/>
  <c r="P83" i="29"/>
  <c r="P84" i="29"/>
  <c r="K83" i="29"/>
  <c r="K84" i="29"/>
  <c r="F83" i="29"/>
  <c r="F84" i="29"/>
  <c r="U79" i="29"/>
  <c r="U80" i="29"/>
  <c r="P80" i="29"/>
  <c r="P79" i="29"/>
  <c r="F80" i="29"/>
  <c r="F79" i="29"/>
  <c r="F111" i="16" s="1"/>
  <c r="K80" i="29"/>
  <c r="L80" i="29" s="1"/>
  <c r="M80" i="29" s="1"/>
  <c r="N80" i="29" s="1"/>
  <c r="O80" i="29" s="1"/>
  <c r="K79" i="29"/>
  <c r="L79" i="29" s="1"/>
  <c r="M79" i="29" s="1"/>
  <c r="G78" i="29"/>
  <c r="H78" i="29" s="1"/>
  <c r="I78" i="29" s="1"/>
  <c r="J78" i="29" s="1"/>
  <c r="K78" i="29" s="1"/>
  <c r="L78" i="29" s="1"/>
  <c r="M78" i="29" s="1"/>
  <c r="N78" i="29" s="1"/>
  <c r="O78" i="29" s="1"/>
  <c r="P78" i="29" s="1"/>
  <c r="Q78" i="29" s="1"/>
  <c r="R78" i="29" s="1"/>
  <c r="S78" i="29" s="1"/>
  <c r="T78" i="29" s="1"/>
  <c r="U78" i="29" s="1"/>
  <c r="U102" i="29" l="1"/>
  <c r="F96" i="29"/>
  <c r="F94" i="29"/>
  <c r="F98" i="29"/>
  <c r="F92" i="29"/>
  <c r="F100" i="29"/>
  <c r="G80" i="29"/>
  <c r="H80" i="29" s="1"/>
  <c r="I80" i="29" s="1"/>
  <c r="J80" i="29" s="1"/>
  <c r="L83" i="29"/>
  <c r="M83" i="29" s="1"/>
  <c r="N83" i="29" s="1"/>
  <c r="O83" i="29" s="1"/>
  <c r="G79" i="29"/>
  <c r="L84" i="29"/>
  <c r="M84" i="29" s="1"/>
  <c r="N84" i="29" s="1"/>
  <c r="O84" i="29" s="1"/>
  <c r="U112" i="16"/>
  <c r="Q80" i="29"/>
  <c r="R80" i="29" s="1"/>
  <c r="S80" i="29" s="1"/>
  <c r="T80" i="29" s="1"/>
  <c r="G83" i="29"/>
  <c r="H83" i="29" s="1"/>
  <c r="I83" i="29" s="1"/>
  <c r="J83" i="29" s="1"/>
  <c r="Q83" i="29"/>
  <c r="R83" i="29" s="1"/>
  <c r="S83" i="29" s="1"/>
  <c r="T83" i="29" s="1"/>
  <c r="Q79" i="29"/>
  <c r="R79" i="29" s="1"/>
  <c r="G84" i="29"/>
  <c r="H84" i="29" s="1"/>
  <c r="I84" i="29" s="1"/>
  <c r="J84" i="29" s="1"/>
  <c r="Q84" i="29"/>
  <c r="R84" i="29" s="1"/>
  <c r="S84" i="29" s="1"/>
  <c r="T84" i="29" s="1"/>
  <c r="F112" i="16"/>
  <c r="P111" i="16"/>
  <c r="P112" i="16"/>
  <c r="K112" i="16"/>
  <c r="K111" i="16"/>
  <c r="U98" i="29" l="1"/>
  <c r="U111" i="16"/>
  <c r="U100" i="29"/>
  <c r="U94" i="29"/>
  <c r="U96" i="29"/>
  <c r="U92" i="29"/>
  <c r="P100" i="29"/>
  <c r="P92" i="29"/>
  <c r="P94" i="29"/>
  <c r="P98" i="29"/>
  <c r="P96" i="29"/>
  <c r="K100" i="29"/>
  <c r="K96" i="29"/>
  <c r="K94" i="29"/>
  <c r="K92" i="29"/>
  <c r="K98" i="29"/>
  <c r="L112" i="16"/>
  <c r="Q112" i="16"/>
  <c r="L111" i="16"/>
  <c r="G111" i="16"/>
  <c r="G112" i="16"/>
  <c r="Q111" i="16"/>
  <c r="R111" i="16"/>
  <c r="R112" i="16"/>
  <c r="M112" i="16"/>
  <c r="H79" i="29"/>
  <c r="M111" i="16"/>
  <c r="H112" i="16"/>
  <c r="M100" i="29" l="1"/>
  <c r="M94" i="29"/>
  <c r="M96" i="29"/>
  <c r="M92" i="29"/>
  <c r="M98" i="29"/>
  <c r="L100" i="29"/>
  <c r="L92" i="29"/>
  <c r="L98" i="29"/>
  <c r="L96" i="29"/>
  <c r="L94" i="29"/>
  <c r="Q100" i="29"/>
  <c r="Q94" i="29"/>
  <c r="Q98" i="29"/>
  <c r="Q92" i="29"/>
  <c r="Q96" i="29"/>
  <c r="R100" i="29"/>
  <c r="R92" i="29"/>
  <c r="R98" i="29"/>
  <c r="R96" i="29"/>
  <c r="R94" i="29"/>
  <c r="G100" i="29"/>
  <c r="G94" i="29"/>
  <c r="G92" i="29"/>
  <c r="G98" i="29"/>
  <c r="G96" i="29"/>
  <c r="H111" i="16"/>
  <c r="I79" i="29"/>
  <c r="J79" i="29" s="1"/>
  <c r="N79" i="29"/>
  <c r="N111" i="16" s="1"/>
  <c r="N112" i="16"/>
  <c r="S79" i="29"/>
  <c r="I112" i="16"/>
  <c r="I111" i="16"/>
  <c r="S112" i="16"/>
  <c r="E43" i="26"/>
  <c r="I100" i="29" l="1"/>
  <c r="I96" i="29"/>
  <c r="I98" i="29"/>
  <c r="I94" i="29"/>
  <c r="I92" i="29"/>
  <c r="N100" i="29"/>
  <c r="N94" i="29"/>
  <c r="N96" i="29"/>
  <c r="N92" i="29"/>
  <c r="N98" i="29"/>
  <c r="H100" i="29"/>
  <c r="H96" i="29"/>
  <c r="H94" i="29"/>
  <c r="H92" i="29"/>
  <c r="H98" i="29"/>
  <c r="S111" i="16"/>
  <c r="T79" i="29"/>
  <c r="O79" i="29"/>
  <c r="F4" i="16"/>
  <c r="F115" i="16" l="1"/>
  <c r="F114" i="16" s="1"/>
  <c r="N115" i="16"/>
  <c r="N114" i="16" s="1"/>
  <c r="R115" i="16"/>
  <c r="R114" i="16" s="1"/>
  <c r="G115" i="16"/>
  <c r="G114" i="16" s="1"/>
  <c r="K115" i="16"/>
  <c r="K114" i="16" s="1"/>
  <c r="O115" i="16"/>
  <c r="O114" i="16" s="1"/>
  <c r="H115" i="16"/>
  <c r="H114" i="16" s="1"/>
  <c r="S100" i="29"/>
  <c r="S98" i="29"/>
  <c r="S94" i="29"/>
  <c r="S96" i="29"/>
  <c r="S92" i="29"/>
  <c r="J112" i="16"/>
  <c r="O111" i="16"/>
  <c r="J111" i="16"/>
  <c r="O112" i="16"/>
  <c r="T112" i="16"/>
  <c r="T111" i="16"/>
  <c r="U115" i="16" l="1"/>
  <c r="U114" i="16" s="1"/>
  <c r="M115" i="16"/>
  <c r="M114" i="16" s="1"/>
  <c r="F60" i="16"/>
  <c r="J115" i="16"/>
  <c r="J114" i="16" s="1"/>
  <c r="J54" i="16" s="1"/>
  <c r="I115" i="16"/>
  <c r="I114" i="16" s="1"/>
  <c r="Q115" i="16"/>
  <c r="Q114" i="16" s="1"/>
  <c r="P115" i="16"/>
  <c r="P114" i="16" s="1"/>
  <c r="L115" i="16"/>
  <c r="L114" i="16" s="1"/>
  <c r="T115" i="16"/>
  <c r="T114" i="16" s="1"/>
  <c r="S115" i="16"/>
  <c r="S114" i="16" s="1"/>
  <c r="F71" i="29"/>
  <c r="T100" i="29"/>
  <c r="T92" i="29"/>
  <c r="T94" i="29"/>
  <c r="T96" i="29"/>
  <c r="T98" i="29"/>
  <c r="O100" i="29"/>
  <c r="O94" i="29"/>
  <c r="O98" i="29"/>
  <c r="O92" i="29"/>
  <c r="O96" i="29"/>
  <c r="J100" i="29"/>
  <c r="J96" i="29"/>
  <c r="J94" i="29"/>
  <c r="J92" i="29"/>
  <c r="J98" i="29"/>
  <c r="F153" i="16" l="1"/>
  <c r="F154" i="16"/>
  <c r="F139" i="16"/>
  <c r="F141" i="16"/>
  <c r="F57" i="16" s="1"/>
  <c r="F142" i="16"/>
  <c r="F73" i="16" s="1"/>
  <c r="H15" i="29"/>
  <c r="U68" i="29" l="1"/>
  <c r="U69" i="29"/>
  <c r="F69" i="29"/>
  <c r="G68" i="29"/>
  <c r="F68" i="29"/>
  <c r="F72" i="16"/>
  <c r="F56" i="16"/>
  <c r="G63" i="29"/>
  <c r="H63" i="29"/>
  <c r="I63" i="29"/>
  <c r="J63" i="29"/>
  <c r="K63" i="29"/>
  <c r="L63" i="29"/>
  <c r="M63" i="29"/>
  <c r="N63" i="29"/>
  <c r="O63" i="29"/>
  <c r="P63" i="29"/>
  <c r="Q63" i="29"/>
  <c r="R63" i="29"/>
  <c r="S63" i="29"/>
  <c r="T63" i="29"/>
  <c r="U63" i="29"/>
  <c r="G60" i="29"/>
  <c r="H60" i="29"/>
  <c r="I60" i="29"/>
  <c r="J60" i="29"/>
  <c r="K60" i="29"/>
  <c r="L60" i="29"/>
  <c r="M60" i="29"/>
  <c r="N60" i="29"/>
  <c r="O60" i="29"/>
  <c r="P60" i="29"/>
  <c r="Q60" i="29"/>
  <c r="R60" i="29"/>
  <c r="S60" i="29"/>
  <c r="T60" i="29"/>
  <c r="U60" i="29"/>
  <c r="G59" i="29"/>
  <c r="H59" i="29" s="1"/>
  <c r="I59" i="29" s="1"/>
  <c r="J59" i="29" s="1"/>
  <c r="K59" i="29" s="1"/>
  <c r="L59" i="29" s="1"/>
  <c r="M59" i="29" s="1"/>
  <c r="N59" i="29" s="1"/>
  <c r="O59" i="29" s="1"/>
  <c r="P59" i="29" s="1"/>
  <c r="Q59" i="29" s="1"/>
  <c r="R59" i="29" s="1"/>
  <c r="S59" i="29" s="1"/>
  <c r="T59" i="29" s="1"/>
  <c r="U59" i="29" s="1"/>
  <c r="K69" i="29" l="1"/>
  <c r="P69" i="29"/>
  <c r="Q69" i="29"/>
  <c r="S69" i="29"/>
  <c r="P68" i="29"/>
  <c r="L69" i="29"/>
  <c r="M69" i="29"/>
  <c r="N69" i="29"/>
  <c r="O69" i="29"/>
  <c r="T69" i="29"/>
  <c r="R69" i="29"/>
  <c r="H69" i="29"/>
  <c r="K68" i="29"/>
  <c r="I68" i="29"/>
  <c r="T68" i="29"/>
  <c r="Q68" i="29"/>
  <c r="G69" i="29"/>
  <c r="H68" i="29"/>
  <c r="I69" i="29"/>
  <c r="M68" i="29"/>
  <c r="O68" i="29"/>
  <c r="R68" i="29"/>
  <c r="N68" i="29"/>
  <c r="J69" i="29"/>
  <c r="S68" i="29"/>
  <c r="J68" i="29"/>
  <c r="L68" i="29"/>
  <c r="E13" i="16"/>
  <c r="D13" i="16"/>
  <c r="Q102" i="29" l="1"/>
  <c r="G102" i="29"/>
  <c r="N102" i="29"/>
  <c r="T102" i="29"/>
  <c r="J102" i="29"/>
  <c r="R102" i="29"/>
  <c r="H102" i="29"/>
  <c r="I102" i="29"/>
  <c r="L102" i="29"/>
  <c r="M102" i="29"/>
  <c r="S102" i="29"/>
  <c r="O102" i="29"/>
  <c r="K102" i="29"/>
  <c r="P102" i="29"/>
  <c r="E23" i="16"/>
  <c r="D23" i="16"/>
  <c r="D40" i="16" l="1"/>
  <c r="D33" i="16"/>
  <c r="D34" i="16"/>
  <c r="D35" i="16"/>
  <c r="D36" i="16"/>
  <c r="D37" i="16"/>
  <c r="D38" i="16"/>
  <c r="D39" i="16"/>
  <c r="E38" i="16"/>
  <c r="D32" i="16"/>
  <c r="D31" i="16"/>
  <c r="E34" i="16"/>
  <c r="E40" i="16"/>
  <c r="E39" i="16"/>
  <c r="F174" i="16" s="1"/>
  <c r="E37" i="16"/>
  <c r="F171" i="16" s="1"/>
  <c r="E36" i="16"/>
  <c r="E35" i="16"/>
  <c r="E33" i="16"/>
  <c r="E32" i="16"/>
  <c r="E31" i="16"/>
  <c r="F169" i="16" s="1"/>
  <c r="G174" i="16" l="1"/>
  <c r="H174" i="16" s="1"/>
  <c r="I174" i="16" s="1"/>
  <c r="J174" i="16" s="1"/>
  <c r="K174" i="16" s="1"/>
  <c r="L174" i="16" s="1"/>
  <c r="M174" i="16" s="1"/>
  <c r="G171" i="16"/>
  <c r="H171" i="16" s="1"/>
  <c r="I171" i="16" s="1"/>
  <c r="J171" i="16" s="1"/>
  <c r="K171" i="16" s="1"/>
  <c r="L171" i="16" s="1"/>
  <c r="M171" i="16" s="1"/>
  <c r="N171" i="16" s="1"/>
  <c r="O171" i="16" s="1"/>
  <c r="P171" i="16" s="1"/>
  <c r="Q171" i="16" s="1"/>
  <c r="R171" i="16" s="1"/>
  <c r="S171" i="16" s="1"/>
  <c r="T171" i="16" s="1"/>
  <c r="U171" i="16" s="1"/>
  <c r="G169" i="16"/>
  <c r="H169" i="16" s="1"/>
  <c r="I169" i="16" s="1"/>
  <c r="J169" i="16" s="1"/>
  <c r="K169" i="16" s="1"/>
  <c r="L169" i="16" s="1"/>
  <c r="M169" i="16" s="1"/>
  <c r="N169" i="16" s="1"/>
  <c r="O169" i="16" s="1"/>
  <c r="P169" i="16" s="1"/>
  <c r="Q169" i="16" s="1"/>
  <c r="R169" i="16" s="1"/>
  <c r="S169" i="16" s="1"/>
  <c r="T169" i="16" s="1"/>
  <c r="U169" i="16" s="1"/>
  <c r="N174" i="16" l="1"/>
  <c r="O174" i="16" l="1"/>
  <c r="P174" i="16" l="1"/>
  <c r="Q174" i="16" l="1"/>
  <c r="R174" i="16" l="1"/>
  <c r="S174" i="16" l="1"/>
  <c r="T174" i="16" l="1"/>
  <c r="U174" i="16" l="1"/>
  <c r="E47" i="26" l="1"/>
  <c r="D18" i="16" l="1"/>
  <c r="G7" i="18" l="1"/>
  <c r="H7" i="18" s="1"/>
  <c r="I7" i="18" s="1"/>
  <c r="J7" i="18" s="1"/>
  <c r="K7" i="18" s="1"/>
  <c r="L7" i="18" s="1"/>
  <c r="M7" i="18" s="1"/>
  <c r="N7" i="18" s="1"/>
  <c r="O7" i="18" s="1"/>
  <c r="P7" i="18" s="1"/>
  <c r="Q7" i="18" s="1"/>
  <c r="R7" i="18" s="1"/>
  <c r="S7" i="18" s="1"/>
  <c r="T7" i="18" s="1"/>
  <c r="U7" i="18" s="1"/>
  <c r="Q90" i="16"/>
  <c r="P90" i="16"/>
  <c r="O90" i="16"/>
  <c r="N90" i="16"/>
  <c r="M90" i="16"/>
  <c r="L90" i="16"/>
  <c r="K90" i="16"/>
  <c r="J90" i="16"/>
  <c r="I90" i="16"/>
  <c r="H90" i="16"/>
  <c r="G90" i="16"/>
  <c r="F90" i="16"/>
  <c r="U89" i="16"/>
  <c r="T89" i="16"/>
  <c r="S89" i="16"/>
  <c r="R89" i="16"/>
  <c r="Q89" i="16"/>
  <c r="P89" i="16"/>
  <c r="O89" i="16"/>
  <c r="N89" i="16"/>
  <c r="M89" i="16"/>
  <c r="L89" i="16"/>
  <c r="K89" i="16"/>
  <c r="J89" i="16"/>
  <c r="I89" i="16"/>
  <c r="U92" i="16" s="1"/>
  <c r="H89" i="16"/>
  <c r="T92" i="16" s="1"/>
  <c r="G89" i="16"/>
  <c r="S92" i="16" s="1"/>
  <c r="F89" i="16"/>
  <c r="U88" i="16"/>
  <c r="T88" i="16"/>
  <c r="S88" i="16"/>
  <c r="R88" i="16"/>
  <c r="Q88" i="16"/>
  <c r="P88" i="16"/>
  <c r="O88" i="16"/>
  <c r="N88" i="16"/>
  <c r="M88" i="16"/>
  <c r="L88" i="16"/>
  <c r="K88" i="16"/>
  <c r="J88" i="16"/>
  <c r="I88" i="16"/>
  <c r="H88" i="16"/>
  <c r="G88" i="16"/>
  <c r="F88" i="16"/>
  <c r="G45" i="16"/>
  <c r="D29" i="16"/>
  <c r="D25" i="16"/>
  <c r="E16" i="16"/>
  <c r="D16" i="16"/>
  <c r="E14" i="16"/>
  <c r="D14" i="16"/>
  <c r="E10" i="16"/>
  <c r="D10" i="16"/>
  <c r="D9" i="16"/>
  <c r="F102" i="16" l="1"/>
  <c r="F139" i="30" s="1"/>
  <c r="F104" i="16"/>
  <c r="I109" i="16"/>
  <c r="I107" i="16" s="1"/>
  <c r="I110" i="16"/>
  <c r="I108" i="16" s="1"/>
  <c r="Q110" i="16"/>
  <c r="Q108" i="16" s="1"/>
  <c r="M109" i="16"/>
  <c r="M107" i="16" s="1"/>
  <c r="F110" i="16"/>
  <c r="F108" i="16" s="1"/>
  <c r="F109" i="16"/>
  <c r="F107" i="16" s="1"/>
  <c r="P110" i="16"/>
  <c r="P108" i="16" s="1"/>
  <c r="P109" i="16"/>
  <c r="P107" i="16" s="1"/>
  <c r="K110" i="16"/>
  <c r="K108" i="16" s="1"/>
  <c r="K109" i="16"/>
  <c r="K107" i="16" s="1"/>
  <c r="U110" i="16"/>
  <c r="U108" i="16" s="1"/>
  <c r="J110" i="16"/>
  <c r="J108" i="16" s="1"/>
  <c r="T109" i="16"/>
  <c r="T107" i="16" s="1"/>
  <c r="O110" i="16"/>
  <c r="O108" i="16" s="1"/>
  <c r="M110" i="16"/>
  <c r="M108" i="16" s="1"/>
  <c r="R110" i="16"/>
  <c r="R108" i="16" s="1"/>
  <c r="R109" i="16"/>
  <c r="R107" i="16" s="1"/>
  <c r="L110" i="16"/>
  <c r="L108" i="16" s="1"/>
  <c r="L109" i="16"/>
  <c r="L107" i="16" s="1"/>
  <c r="G110" i="16"/>
  <c r="G108" i="16" s="1"/>
  <c r="G109" i="16"/>
  <c r="G107" i="16" s="1"/>
  <c r="U109" i="16"/>
  <c r="U107" i="16" s="1"/>
  <c r="N110" i="16"/>
  <c r="N108" i="16" s="1"/>
  <c r="N109" i="16"/>
  <c r="N107" i="16" s="1"/>
  <c r="H110" i="16"/>
  <c r="H108" i="16" s="1"/>
  <c r="H109" i="16"/>
  <c r="H107" i="16" s="1"/>
  <c r="S110" i="16"/>
  <c r="S108" i="16" s="1"/>
  <c r="S109" i="16"/>
  <c r="S107" i="16" s="1"/>
  <c r="Q109" i="16"/>
  <c r="Q107" i="16" s="1"/>
  <c r="J109" i="16"/>
  <c r="J107" i="16" s="1"/>
  <c r="T110" i="16"/>
  <c r="T108" i="16" s="1"/>
  <c r="O109" i="16"/>
  <c r="O107" i="16" s="1"/>
  <c r="G153" i="16"/>
  <c r="G154" i="16"/>
  <c r="F168" i="16"/>
  <c r="G168" i="16" s="1"/>
  <c r="H168" i="16" s="1"/>
  <c r="I168" i="16" s="1"/>
  <c r="J168" i="16" s="1"/>
  <c r="K168" i="16" s="1"/>
  <c r="L168" i="16" s="1"/>
  <c r="M168" i="16" s="1"/>
  <c r="N168" i="16" s="1"/>
  <c r="O168" i="16" s="1"/>
  <c r="P168" i="16" s="1"/>
  <c r="Q168" i="16" s="1"/>
  <c r="R168" i="16" s="1"/>
  <c r="S168" i="16" s="1"/>
  <c r="T168" i="16" s="1"/>
  <c r="U168" i="16" s="1"/>
  <c r="F167" i="16"/>
  <c r="G103" i="16"/>
  <c r="G104" i="16" s="1"/>
  <c r="G142" i="16"/>
  <c r="G73" i="16" s="1"/>
  <c r="G141" i="16"/>
  <c r="G57" i="16" s="1"/>
  <c r="G139" i="16"/>
  <c r="I224" i="16"/>
  <c r="I226" i="16" s="1"/>
  <c r="Q224" i="16"/>
  <c r="Q226" i="16" s="1"/>
  <c r="N224" i="16"/>
  <c r="N226" i="16" s="1"/>
  <c r="M224" i="16"/>
  <c r="U224" i="16"/>
  <c r="J224" i="16"/>
  <c r="J226" i="16" s="1"/>
  <c r="R224" i="16"/>
  <c r="R226" i="16" s="1"/>
  <c r="F224" i="16"/>
  <c r="G224" i="16"/>
  <c r="G226" i="16" s="1"/>
  <c r="H224" i="16"/>
  <c r="P224" i="16"/>
  <c r="O224" i="16"/>
  <c r="T224" i="16"/>
  <c r="T226" i="16" s="1"/>
  <c r="S224" i="16"/>
  <c r="S226" i="16" s="1"/>
  <c r="L224" i="16"/>
  <c r="K224" i="16"/>
  <c r="F213" i="16"/>
  <c r="R131" i="30" s="1"/>
  <c r="F201" i="16"/>
  <c r="N131" i="30" s="1"/>
  <c r="N201" i="16"/>
  <c r="M201" i="16"/>
  <c r="R201" i="16"/>
  <c r="G201" i="16"/>
  <c r="J201" i="16"/>
  <c r="H201" i="16"/>
  <c r="Q201" i="16"/>
  <c r="U201" i="16"/>
  <c r="Q131" i="30" s="1"/>
  <c r="K201" i="16"/>
  <c r="O131" i="30" s="1"/>
  <c r="S201" i="16"/>
  <c r="P201" i="16"/>
  <c r="P131" i="30" s="1"/>
  <c r="L201" i="16"/>
  <c r="T201" i="16"/>
  <c r="O201" i="16"/>
  <c r="I201" i="16"/>
  <c r="F208" i="16"/>
  <c r="T208" i="16"/>
  <c r="S208" i="16"/>
  <c r="P208" i="16"/>
  <c r="F49" i="16"/>
  <c r="F58" i="16" s="1"/>
  <c r="F95" i="16"/>
  <c r="R92" i="16"/>
  <c r="J161" i="16"/>
  <c r="J163" i="16"/>
  <c r="T157" i="16"/>
  <c r="P173" i="16"/>
  <c r="T173" i="16"/>
  <c r="G173" i="16"/>
  <c r="S173" i="16"/>
  <c r="K173" i="16"/>
  <c r="O173" i="16"/>
  <c r="T91" i="16"/>
  <c r="T90" i="16" s="1"/>
  <c r="H173" i="16"/>
  <c r="L173" i="16"/>
  <c r="U91" i="16"/>
  <c r="U90" i="16" s="1"/>
  <c r="I173" i="16"/>
  <c r="M173" i="16"/>
  <c r="Q173" i="16"/>
  <c r="U173" i="16"/>
  <c r="R91" i="16"/>
  <c r="F173" i="16"/>
  <c r="J173" i="16"/>
  <c r="N173" i="16"/>
  <c r="R173" i="16"/>
  <c r="F94" i="16"/>
  <c r="H45" i="16"/>
  <c r="S91" i="16"/>
  <c r="S90" i="16" s="1"/>
  <c r="L161" i="16"/>
  <c r="F157" i="16"/>
  <c r="F163" i="16"/>
  <c r="S160" i="16"/>
  <c r="O160" i="16"/>
  <c r="K160" i="16"/>
  <c r="G160" i="16"/>
  <c r="U160" i="16"/>
  <c r="Q160" i="16"/>
  <c r="M160" i="16"/>
  <c r="I160" i="16"/>
  <c r="N160" i="16"/>
  <c r="F160" i="16"/>
  <c r="R160" i="16"/>
  <c r="H160" i="16"/>
  <c r="P160" i="16"/>
  <c r="J160" i="16"/>
  <c r="T160" i="16"/>
  <c r="L160" i="16"/>
  <c r="U157" i="16"/>
  <c r="Q157" i="16"/>
  <c r="S157" i="16"/>
  <c r="O157" i="16"/>
  <c r="K157" i="16"/>
  <c r="G157" i="16"/>
  <c r="N157" i="16"/>
  <c r="I157" i="16"/>
  <c r="R157" i="16"/>
  <c r="J157" i="16"/>
  <c r="P157" i="16"/>
  <c r="H157" i="16"/>
  <c r="U161" i="16"/>
  <c r="Q161" i="16"/>
  <c r="M161" i="16"/>
  <c r="I161" i="16"/>
  <c r="S161" i="16"/>
  <c r="O161" i="16"/>
  <c r="K161" i="16"/>
  <c r="G161" i="16"/>
  <c r="P161" i="16"/>
  <c r="H161" i="16"/>
  <c r="R161" i="16"/>
  <c r="F161" i="16"/>
  <c r="N161" i="16"/>
  <c r="U163" i="16"/>
  <c r="Q163" i="16"/>
  <c r="M163" i="16"/>
  <c r="I163" i="16"/>
  <c r="S163" i="16"/>
  <c r="O163" i="16"/>
  <c r="K163" i="16"/>
  <c r="G163" i="16"/>
  <c r="P163" i="16"/>
  <c r="H163" i="16"/>
  <c r="N163" i="16"/>
  <c r="L163" i="16"/>
  <c r="L157" i="16"/>
  <c r="T161" i="16"/>
  <c r="R163" i="16"/>
  <c r="M157" i="16"/>
  <c r="T163" i="16"/>
  <c r="H154" i="16" l="1"/>
  <c r="H153" i="16"/>
  <c r="F172" i="16"/>
  <c r="T127" i="30"/>
  <c r="P127" i="30"/>
  <c r="U127" i="30"/>
  <c r="Q127" i="30"/>
  <c r="O127" i="30"/>
  <c r="S127" i="30"/>
  <c r="R127" i="30"/>
  <c r="N127" i="30"/>
  <c r="H103" i="16"/>
  <c r="H104" i="16" s="1"/>
  <c r="H141" i="16"/>
  <c r="H57" i="16" s="1"/>
  <c r="H139" i="16"/>
  <c r="H142" i="16"/>
  <c r="H73" i="16" s="1"/>
  <c r="L208" i="16"/>
  <c r="G208" i="16"/>
  <c r="O208" i="16"/>
  <c r="H208" i="16"/>
  <c r="M208" i="16"/>
  <c r="I208" i="16"/>
  <c r="Q208" i="16"/>
  <c r="R208" i="16"/>
  <c r="J208" i="16"/>
  <c r="N208" i="16"/>
  <c r="F222" i="16"/>
  <c r="R122" i="30" s="1"/>
  <c r="F210" i="16"/>
  <c r="N122" i="30" s="1"/>
  <c r="P210" i="16"/>
  <c r="P122" i="30" s="1"/>
  <c r="P222" i="16"/>
  <c r="T122" i="30" s="1"/>
  <c r="N222" i="16"/>
  <c r="N210" i="16"/>
  <c r="U222" i="16"/>
  <c r="U122" i="30" s="1"/>
  <c r="U210" i="16"/>
  <c r="Q122" i="30" s="1"/>
  <c r="S222" i="16"/>
  <c r="S210" i="16"/>
  <c r="O210" i="16"/>
  <c r="O222" i="16"/>
  <c r="L222" i="16"/>
  <c r="L210" i="16"/>
  <c r="H210" i="16"/>
  <c r="H222" i="16"/>
  <c r="I222" i="16"/>
  <c r="I210" i="16"/>
  <c r="G222" i="16"/>
  <c r="G210" i="16"/>
  <c r="J222" i="16"/>
  <c r="J210" i="16"/>
  <c r="Q222" i="16"/>
  <c r="Q210" i="16"/>
  <c r="T222" i="16"/>
  <c r="T210" i="16"/>
  <c r="R222" i="16"/>
  <c r="R210" i="16"/>
  <c r="M222" i="16"/>
  <c r="M210" i="16"/>
  <c r="K210" i="16"/>
  <c r="O122" i="30" s="1"/>
  <c r="K222" i="16"/>
  <c r="S122" i="30" s="1"/>
  <c r="F146" i="16"/>
  <c r="F80" i="16"/>
  <c r="G102" i="16"/>
  <c r="G139" i="30" s="1"/>
  <c r="G72" i="16"/>
  <c r="G56" i="16"/>
  <c r="U208" i="16"/>
  <c r="K208" i="16"/>
  <c r="U226" i="16"/>
  <c r="U223" i="16" s="1"/>
  <c r="F226" i="16"/>
  <c r="F223" i="16" s="1"/>
  <c r="K226" i="16"/>
  <c r="K223" i="16" s="1"/>
  <c r="R223" i="16"/>
  <c r="N223" i="16"/>
  <c r="O226" i="16"/>
  <c r="O223" i="16" s="1"/>
  <c r="S223" i="16"/>
  <c r="J223" i="16"/>
  <c r="Q223" i="16"/>
  <c r="T223" i="16"/>
  <c r="G223" i="16"/>
  <c r="I223" i="16"/>
  <c r="P226" i="16"/>
  <c r="P223" i="16" s="1"/>
  <c r="L226" i="16"/>
  <c r="L223" i="16" s="1"/>
  <c r="M226" i="16"/>
  <c r="M223" i="16" s="1"/>
  <c r="H226" i="16"/>
  <c r="H223" i="16" s="1"/>
  <c r="F220" i="16"/>
  <c r="F151" i="16"/>
  <c r="F140" i="16"/>
  <c r="G95" i="16"/>
  <c r="G152" i="16" s="1"/>
  <c r="F152" i="16"/>
  <c r="G68" i="16"/>
  <c r="G54" i="16"/>
  <c r="G71" i="29"/>
  <c r="G70" i="16"/>
  <c r="G52" i="16"/>
  <c r="P77" i="16"/>
  <c r="Q77" i="16"/>
  <c r="F77" i="16"/>
  <c r="R61" i="16"/>
  <c r="R77" i="16"/>
  <c r="M61" i="16"/>
  <c r="M77" i="16"/>
  <c r="G77" i="16"/>
  <c r="T77" i="16"/>
  <c r="N77" i="16"/>
  <c r="U77" i="16"/>
  <c r="O77" i="16"/>
  <c r="L61" i="16"/>
  <c r="L77" i="16"/>
  <c r="K77" i="16"/>
  <c r="J61" i="16"/>
  <c r="J77" i="16"/>
  <c r="H77" i="16"/>
  <c r="I77" i="16"/>
  <c r="S77" i="16"/>
  <c r="P61" i="16"/>
  <c r="F61" i="16"/>
  <c r="Q61" i="16"/>
  <c r="K61" i="16"/>
  <c r="T61" i="16"/>
  <c r="N61" i="16"/>
  <c r="U61" i="16"/>
  <c r="O61" i="16"/>
  <c r="G61" i="16"/>
  <c r="H61" i="16"/>
  <c r="I61" i="16"/>
  <c r="S61" i="16"/>
  <c r="R90" i="16"/>
  <c r="I65" i="16"/>
  <c r="K96" i="16"/>
  <c r="P49" i="16"/>
  <c r="R60" i="16"/>
  <c r="R76" i="16"/>
  <c r="F96" i="16"/>
  <c r="F144" i="16" s="1"/>
  <c r="N96" i="16"/>
  <c r="M96" i="16"/>
  <c r="G96" i="16"/>
  <c r="H96" i="16"/>
  <c r="Q96" i="16"/>
  <c r="S96" i="16"/>
  <c r="L96" i="16"/>
  <c r="E45" i="26"/>
  <c r="T76" i="16"/>
  <c r="T65" i="16"/>
  <c r="G76" i="16"/>
  <c r="G65" i="16"/>
  <c r="H76" i="16"/>
  <c r="H65" i="16"/>
  <c r="Q76" i="16"/>
  <c r="Q65" i="16"/>
  <c r="S76" i="16"/>
  <c r="S65" i="16"/>
  <c r="N76" i="16"/>
  <c r="N65" i="16"/>
  <c r="M76" i="16"/>
  <c r="M65" i="16"/>
  <c r="K76" i="16"/>
  <c r="K65" i="16"/>
  <c r="L76" i="16"/>
  <c r="L65" i="16"/>
  <c r="F76" i="16"/>
  <c r="F65" i="16"/>
  <c r="M49" i="16"/>
  <c r="M60" i="16"/>
  <c r="O49" i="16"/>
  <c r="O60" i="16"/>
  <c r="S49" i="16"/>
  <c r="S60" i="16"/>
  <c r="L49" i="16"/>
  <c r="L60" i="16"/>
  <c r="H49" i="16"/>
  <c r="H60" i="16"/>
  <c r="N49" i="16"/>
  <c r="N60" i="16"/>
  <c r="G49" i="16"/>
  <c r="G60" i="16"/>
  <c r="Q49" i="16"/>
  <c r="Q60" i="16"/>
  <c r="F166" i="16"/>
  <c r="G167" i="16"/>
  <c r="F93" i="16"/>
  <c r="G94" i="16"/>
  <c r="I45" i="16"/>
  <c r="E40" i="26" l="1"/>
  <c r="F31" i="18" s="1"/>
  <c r="Q40" i="26"/>
  <c r="K40" i="26"/>
  <c r="AC40" i="26"/>
  <c r="H41" i="18" s="1"/>
  <c r="W40" i="26"/>
  <c r="H40" i="18" s="1"/>
  <c r="F106" i="16"/>
  <c r="F113" i="16"/>
  <c r="I154" i="16"/>
  <c r="I153" i="16"/>
  <c r="G172" i="16"/>
  <c r="R125" i="30"/>
  <c r="N125" i="30"/>
  <c r="Q125" i="30"/>
  <c r="O125" i="30"/>
  <c r="P125" i="30"/>
  <c r="I103" i="16"/>
  <c r="I104" i="16" s="1"/>
  <c r="I142" i="16"/>
  <c r="I73" i="16" s="1"/>
  <c r="I139" i="16"/>
  <c r="I141" i="16"/>
  <c r="I57" i="16" s="1"/>
  <c r="G146" i="16"/>
  <c r="G80" i="16"/>
  <c r="H102" i="16"/>
  <c r="H139" i="30" s="1"/>
  <c r="F138" i="16"/>
  <c r="F137" i="30" s="1"/>
  <c r="H72" i="16"/>
  <c r="H56" i="16"/>
  <c r="G151" i="16"/>
  <c r="G140" i="16"/>
  <c r="H95" i="16"/>
  <c r="I74" i="16"/>
  <c r="F74" i="16"/>
  <c r="K74" i="16"/>
  <c r="N74" i="16"/>
  <c r="Q74" i="16"/>
  <c r="G74" i="16"/>
  <c r="L74" i="16"/>
  <c r="M74" i="16"/>
  <c r="S74" i="16"/>
  <c r="H74" i="16"/>
  <c r="T74" i="16"/>
  <c r="Q58" i="16"/>
  <c r="N58" i="16"/>
  <c r="L58" i="16"/>
  <c r="G58" i="16"/>
  <c r="H58" i="16"/>
  <c r="S58" i="16"/>
  <c r="P58" i="16"/>
  <c r="O58" i="16"/>
  <c r="M58" i="16"/>
  <c r="G124" i="16"/>
  <c r="J65" i="16"/>
  <c r="J76" i="16"/>
  <c r="I76" i="16"/>
  <c r="K60" i="16"/>
  <c r="J96" i="16"/>
  <c r="I96" i="16"/>
  <c r="K49" i="16"/>
  <c r="U76" i="16"/>
  <c r="T49" i="16"/>
  <c r="J60" i="16"/>
  <c r="I49" i="16"/>
  <c r="I60" i="16"/>
  <c r="J49" i="16"/>
  <c r="P60" i="16"/>
  <c r="R65" i="16"/>
  <c r="O96" i="16"/>
  <c r="O65" i="16"/>
  <c r="O76" i="16"/>
  <c r="R49" i="16"/>
  <c r="R96" i="16"/>
  <c r="U49" i="16"/>
  <c r="G144" i="16"/>
  <c r="F170" i="16"/>
  <c r="F165" i="16" s="1"/>
  <c r="F146" i="30" s="1"/>
  <c r="F156" i="16"/>
  <c r="H167" i="16"/>
  <c r="G166" i="16"/>
  <c r="F87" i="16"/>
  <c r="F142" i="30" s="1"/>
  <c r="F159" i="16"/>
  <c r="F162" i="16"/>
  <c r="H94" i="16"/>
  <c r="G93" i="16"/>
  <c r="J45" i="16"/>
  <c r="E41" i="10" l="1"/>
  <c r="F32" i="18" s="1"/>
  <c r="F100" i="16" s="1"/>
  <c r="E42" i="10"/>
  <c r="F33" i="18" s="1"/>
  <c r="G106" i="16"/>
  <c r="G113" i="16"/>
  <c r="J154" i="16"/>
  <c r="J153" i="16"/>
  <c r="H172" i="16"/>
  <c r="J103" i="16"/>
  <c r="J104" i="16" s="1"/>
  <c r="J141" i="16"/>
  <c r="J57" i="16" s="1"/>
  <c r="J139" i="16"/>
  <c r="J142" i="16"/>
  <c r="J73" i="16" s="1"/>
  <c r="F40" i="18"/>
  <c r="F46" i="18" s="1"/>
  <c r="G40" i="18"/>
  <c r="F41" i="18"/>
  <c r="F47" i="18" s="1"/>
  <c r="G41" i="18"/>
  <c r="H144" i="16"/>
  <c r="I144" i="16" s="1"/>
  <c r="H146" i="16"/>
  <c r="H80" i="16"/>
  <c r="I102" i="16"/>
  <c r="I139" i="30" s="1"/>
  <c r="G138" i="16"/>
  <c r="G137" i="30" s="1"/>
  <c r="I56" i="16"/>
  <c r="I72" i="16"/>
  <c r="G213" i="16"/>
  <c r="H140" i="16"/>
  <c r="I58" i="16"/>
  <c r="I95" i="16"/>
  <c r="H152" i="16"/>
  <c r="F155" i="16"/>
  <c r="F143" i="30" s="1"/>
  <c r="G156" i="16"/>
  <c r="G155" i="16" s="1"/>
  <c r="G143" i="30" s="1"/>
  <c r="O74" i="16"/>
  <c r="J74" i="16"/>
  <c r="R74" i="16"/>
  <c r="U58" i="16"/>
  <c r="J58" i="16"/>
  <c r="T58" i="16"/>
  <c r="R58" i="16"/>
  <c r="K58" i="16"/>
  <c r="F158" i="16"/>
  <c r="F144" i="30" s="1"/>
  <c r="P96" i="16"/>
  <c r="P76" i="16"/>
  <c r="P65" i="16"/>
  <c r="T60" i="16"/>
  <c r="T96" i="16"/>
  <c r="U65" i="16"/>
  <c r="U96" i="16"/>
  <c r="U60" i="16"/>
  <c r="G170" i="16"/>
  <c r="G165" i="16" s="1"/>
  <c r="G146" i="30" s="1"/>
  <c r="I167" i="16"/>
  <c r="H166" i="16"/>
  <c r="G87" i="16"/>
  <c r="G142" i="30" s="1"/>
  <c r="G159" i="16"/>
  <c r="G162" i="16"/>
  <c r="H93" i="16"/>
  <c r="I94" i="16"/>
  <c r="H151" i="16"/>
  <c r="K45" i="16"/>
  <c r="E59" i="10" l="1"/>
  <c r="I172" i="16"/>
  <c r="H106" i="16"/>
  <c r="H113" i="16"/>
  <c r="K153" i="16"/>
  <c r="K154" i="16"/>
  <c r="K103" i="16"/>
  <c r="K104" i="16" s="1"/>
  <c r="K142" i="16"/>
  <c r="K73" i="16" s="1"/>
  <c r="K141" i="16"/>
  <c r="K57" i="16" s="1"/>
  <c r="K139" i="16"/>
  <c r="G220" i="16"/>
  <c r="K46" i="18"/>
  <c r="I46" i="18" s="1"/>
  <c r="J144" i="16"/>
  <c r="K47" i="18"/>
  <c r="I146" i="16"/>
  <c r="I80" i="16"/>
  <c r="J102" i="16"/>
  <c r="J139" i="30" s="1"/>
  <c r="H138" i="16"/>
  <c r="H137" i="30" s="1"/>
  <c r="J56" i="16"/>
  <c r="J72" i="16"/>
  <c r="H213" i="16"/>
  <c r="I213" i="16"/>
  <c r="H100" i="16"/>
  <c r="F99" i="16"/>
  <c r="I140" i="16"/>
  <c r="G100" i="16"/>
  <c r="I100" i="16"/>
  <c r="J100" i="16"/>
  <c r="J95" i="16"/>
  <c r="I152" i="16"/>
  <c r="U74" i="16"/>
  <c r="P74" i="16"/>
  <c r="G158" i="16"/>
  <c r="G144" i="30" s="1"/>
  <c r="H170" i="16"/>
  <c r="H165" i="16" s="1"/>
  <c r="H146" i="30" s="1"/>
  <c r="H156" i="16"/>
  <c r="H155" i="16" s="1"/>
  <c r="H143" i="30" s="1"/>
  <c r="J167" i="16"/>
  <c r="I166" i="16"/>
  <c r="H87" i="16"/>
  <c r="H162" i="16"/>
  <c r="H159" i="16"/>
  <c r="J94" i="16"/>
  <c r="I151" i="16"/>
  <c r="I93" i="16"/>
  <c r="K100" i="16"/>
  <c r="L45" i="16"/>
  <c r="I87" i="16" l="1"/>
  <c r="I142" i="30" s="1"/>
  <c r="H142" i="30"/>
  <c r="F86" i="16"/>
  <c r="I106" i="16"/>
  <c r="I113" i="16"/>
  <c r="L154" i="16"/>
  <c r="L153" i="16"/>
  <c r="J172" i="16"/>
  <c r="P47" i="18"/>
  <c r="U47" i="18" s="1"/>
  <c r="L103" i="16"/>
  <c r="L104" i="16" s="1"/>
  <c r="L139" i="16"/>
  <c r="L142" i="16"/>
  <c r="L73" i="16" s="1"/>
  <c r="L141" i="16"/>
  <c r="L57" i="16" s="1"/>
  <c r="H46" i="18"/>
  <c r="G46" i="18"/>
  <c r="P46" i="18"/>
  <c r="M46" i="18" s="1"/>
  <c r="J46" i="18"/>
  <c r="K144" i="16"/>
  <c r="I47" i="18"/>
  <c r="G47" i="18"/>
  <c r="H47" i="18"/>
  <c r="J47" i="18"/>
  <c r="J146" i="16"/>
  <c r="J80" i="16"/>
  <c r="K102" i="16"/>
  <c r="K139" i="30" s="1"/>
  <c r="I138" i="16"/>
  <c r="I137" i="30" s="1"/>
  <c r="K56" i="16"/>
  <c r="K72" i="16"/>
  <c r="I220" i="16"/>
  <c r="J213" i="16"/>
  <c r="H220" i="16"/>
  <c r="F101" i="16"/>
  <c r="G101" i="16" s="1"/>
  <c r="H101" i="16" s="1"/>
  <c r="J140" i="16"/>
  <c r="K95" i="16"/>
  <c r="J152" i="16"/>
  <c r="F145" i="16"/>
  <c r="F79" i="16"/>
  <c r="F137" i="16"/>
  <c r="F81" i="16" s="1"/>
  <c r="H158" i="16"/>
  <c r="H144" i="30" s="1"/>
  <c r="I170" i="16"/>
  <c r="I165" i="16" s="1"/>
  <c r="I146" i="30" s="1"/>
  <c r="K167" i="16"/>
  <c r="J166" i="16"/>
  <c r="I156" i="16"/>
  <c r="I155" i="16" s="1"/>
  <c r="I143" i="30" s="1"/>
  <c r="J151" i="16"/>
  <c r="K94" i="16"/>
  <c r="J93" i="16"/>
  <c r="I162" i="16"/>
  <c r="I159" i="16"/>
  <c r="L100" i="16"/>
  <c r="M45" i="16"/>
  <c r="J87" i="16" l="1"/>
  <c r="J142" i="30" s="1"/>
  <c r="F138" i="30"/>
  <c r="F127" i="30"/>
  <c r="J127" i="30"/>
  <c r="J106" i="16"/>
  <c r="J113" i="16"/>
  <c r="L47" i="18"/>
  <c r="M47" i="18"/>
  <c r="O47" i="18"/>
  <c r="N47" i="18"/>
  <c r="M153" i="16"/>
  <c r="M154" i="16"/>
  <c r="K172" i="16"/>
  <c r="T47" i="18"/>
  <c r="M103" i="16"/>
  <c r="M104" i="16" s="1"/>
  <c r="M142" i="16"/>
  <c r="M73" i="16" s="1"/>
  <c r="M141" i="16"/>
  <c r="M57" i="16" s="1"/>
  <c r="M139" i="16"/>
  <c r="N46" i="18"/>
  <c r="O46" i="18"/>
  <c r="U46" i="18"/>
  <c r="V48" i="18" s="1"/>
  <c r="E60" i="10" s="1"/>
  <c r="L46" i="18"/>
  <c r="F82" i="16"/>
  <c r="F143" i="16"/>
  <c r="F136" i="30" s="1"/>
  <c r="L144" i="16"/>
  <c r="S47" i="18"/>
  <c r="R47" i="18"/>
  <c r="Q47" i="18"/>
  <c r="K146" i="16"/>
  <c r="K80" i="16"/>
  <c r="L102" i="16"/>
  <c r="L139" i="30" s="1"/>
  <c r="J138" i="16"/>
  <c r="J137" i="30" s="1"/>
  <c r="L56" i="16"/>
  <c r="L72" i="16"/>
  <c r="K213" i="16"/>
  <c r="S131" i="30" s="1"/>
  <c r="J220" i="16"/>
  <c r="K140" i="16"/>
  <c r="G99" i="16"/>
  <c r="L95" i="16"/>
  <c r="K152" i="16"/>
  <c r="I101" i="16"/>
  <c r="I158" i="16"/>
  <c r="I144" i="30" s="1"/>
  <c r="J170" i="16"/>
  <c r="J165" i="16" s="1"/>
  <c r="J146" i="30" s="1"/>
  <c r="L167" i="16"/>
  <c r="K166" i="16"/>
  <c r="J156" i="16"/>
  <c r="J155" i="16" s="1"/>
  <c r="J143" i="30" s="1"/>
  <c r="K87" i="16"/>
  <c r="K142" i="30" s="1"/>
  <c r="J159" i="16"/>
  <c r="J162" i="16"/>
  <c r="K151" i="16"/>
  <c r="L94" i="16"/>
  <c r="K93" i="16"/>
  <c r="N45" i="16"/>
  <c r="M100" i="16"/>
  <c r="G86" i="16" l="1"/>
  <c r="Q46" i="18"/>
  <c r="K106" i="16"/>
  <c r="K113" i="16"/>
  <c r="N153" i="16"/>
  <c r="N154" i="16"/>
  <c r="L172" i="16"/>
  <c r="N103" i="16"/>
  <c r="N104" i="16" s="1"/>
  <c r="N142" i="16"/>
  <c r="N73" i="16" s="1"/>
  <c r="N141" i="16"/>
  <c r="N57" i="16" s="1"/>
  <c r="N139" i="16"/>
  <c r="R46" i="18"/>
  <c r="T46" i="18"/>
  <c r="S46" i="18"/>
  <c r="F78" i="16"/>
  <c r="M144" i="16"/>
  <c r="L146" i="16"/>
  <c r="L80" i="16"/>
  <c r="M102" i="16"/>
  <c r="M139" i="30" s="1"/>
  <c r="K138" i="16"/>
  <c r="K137" i="30" s="1"/>
  <c r="M56" i="16"/>
  <c r="M72" i="16"/>
  <c r="K220" i="16"/>
  <c r="S125" i="30" s="1"/>
  <c r="L213" i="16"/>
  <c r="G137" i="16"/>
  <c r="G81" i="16" s="1"/>
  <c r="L140" i="16"/>
  <c r="G79" i="16"/>
  <c r="H99" i="16"/>
  <c r="G145" i="16"/>
  <c r="M95" i="16"/>
  <c r="L152" i="16"/>
  <c r="J101" i="16"/>
  <c r="J158" i="16"/>
  <c r="J144" i="30" s="1"/>
  <c r="K170" i="16"/>
  <c r="K165" i="16" s="1"/>
  <c r="K146" i="30" s="1"/>
  <c r="M167" i="16"/>
  <c r="L166" i="16"/>
  <c r="K156" i="16"/>
  <c r="L156" i="16" s="1"/>
  <c r="L87" i="16"/>
  <c r="L142" i="30" s="1"/>
  <c r="K162" i="16"/>
  <c r="K159" i="16"/>
  <c r="M94" i="16"/>
  <c r="L151" i="16"/>
  <c r="L93" i="16"/>
  <c r="N100" i="16"/>
  <c r="O45" i="16"/>
  <c r="G138" i="30" l="1"/>
  <c r="H137" i="16"/>
  <c r="H138" i="30" s="1"/>
  <c r="H86" i="16"/>
  <c r="L106" i="16"/>
  <c r="L113" i="16"/>
  <c r="O154" i="16"/>
  <c r="O153" i="16"/>
  <c r="M172" i="16"/>
  <c r="O103" i="16"/>
  <c r="O104" i="16" s="1"/>
  <c r="O139" i="16"/>
  <c r="O142" i="16"/>
  <c r="O73" i="16" s="1"/>
  <c r="O141" i="16"/>
  <c r="O57" i="16" s="1"/>
  <c r="G82" i="16"/>
  <c r="G78" i="16" s="1"/>
  <c r="G143" i="16"/>
  <c r="G136" i="30" s="1"/>
  <c r="N144" i="16"/>
  <c r="M146" i="16"/>
  <c r="M80" i="16"/>
  <c r="N102" i="16"/>
  <c r="N139" i="30" s="1"/>
  <c r="L138" i="16"/>
  <c r="L137" i="30" s="1"/>
  <c r="N56" i="16"/>
  <c r="N72" i="16"/>
  <c r="M213" i="16"/>
  <c r="L220" i="16"/>
  <c r="M140" i="16"/>
  <c r="I99" i="16"/>
  <c r="H79" i="16"/>
  <c r="H145" i="16"/>
  <c r="H143" i="16" s="1"/>
  <c r="H136" i="30" s="1"/>
  <c r="N95" i="16"/>
  <c r="M152" i="16"/>
  <c r="K101" i="16"/>
  <c r="K158" i="16"/>
  <c r="K144" i="30" s="1"/>
  <c r="L170" i="16"/>
  <c r="L165" i="16" s="1"/>
  <c r="L146" i="30" s="1"/>
  <c r="N167" i="16"/>
  <c r="M166" i="16"/>
  <c r="M87" i="16"/>
  <c r="M142" i="30" s="1"/>
  <c r="K155" i="16"/>
  <c r="K143" i="30" s="1"/>
  <c r="L162" i="16"/>
  <c r="L159" i="16"/>
  <c r="M93" i="16"/>
  <c r="N94" i="16"/>
  <c r="M151" i="16"/>
  <c r="O100" i="16"/>
  <c r="P45" i="16"/>
  <c r="M156" i="16"/>
  <c r="L155" i="16"/>
  <c r="L143" i="30" s="1"/>
  <c r="H81" i="16" l="1"/>
  <c r="I145" i="16"/>
  <c r="I82" i="16" s="1"/>
  <c r="I86" i="16"/>
  <c r="M106" i="16"/>
  <c r="M113" i="16"/>
  <c r="P153" i="16"/>
  <c r="P154" i="16"/>
  <c r="N172" i="16"/>
  <c r="P103" i="16"/>
  <c r="P104" i="16" s="1"/>
  <c r="P139" i="16"/>
  <c r="P142" i="16"/>
  <c r="P73" i="16" s="1"/>
  <c r="P141" i="16"/>
  <c r="P57" i="16" s="1"/>
  <c r="M220" i="16"/>
  <c r="O144" i="16"/>
  <c r="N146" i="16"/>
  <c r="N80" i="16"/>
  <c r="H82" i="16"/>
  <c r="H78" i="16" s="1"/>
  <c r="O102" i="16"/>
  <c r="O139" i="30" s="1"/>
  <c r="M138" i="16"/>
  <c r="M137" i="30" s="1"/>
  <c r="O72" i="16"/>
  <c r="O56" i="16"/>
  <c r="N213" i="16"/>
  <c r="N140" i="16"/>
  <c r="I137" i="16"/>
  <c r="I81" i="16" s="1"/>
  <c r="J99" i="16"/>
  <c r="I79" i="16"/>
  <c r="O95" i="16"/>
  <c r="N152" i="16"/>
  <c r="L101" i="16"/>
  <c r="L158" i="16"/>
  <c r="L144" i="30" s="1"/>
  <c r="M170" i="16"/>
  <c r="M165" i="16" s="1"/>
  <c r="M146" i="30" s="1"/>
  <c r="O167" i="16"/>
  <c r="N166" i="16"/>
  <c r="N87" i="16"/>
  <c r="N142" i="30" s="1"/>
  <c r="M159" i="16"/>
  <c r="M162" i="16"/>
  <c r="N93" i="16"/>
  <c r="N151" i="16"/>
  <c r="O94" i="16"/>
  <c r="P100" i="16"/>
  <c r="Q45" i="16"/>
  <c r="M155" i="16"/>
  <c r="M143" i="30" s="1"/>
  <c r="N156" i="16"/>
  <c r="J137" i="16" l="1"/>
  <c r="J81" i="16" s="1"/>
  <c r="J86" i="16"/>
  <c r="I143" i="16"/>
  <c r="I136" i="30" s="1"/>
  <c r="I138" i="30"/>
  <c r="N106" i="16"/>
  <c r="N113" i="16"/>
  <c r="Q154" i="16"/>
  <c r="Q153" i="16"/>
  <c r="O172" i="16"/>
  <c r="Q103" i="16"/>
  <c r="Q104" i="16" s="1"/>
  <c r="Q142" i="16"/>
  <c r="Q73" i="16" s="1"/>
  <c r="Q139" i="16"/>
  <c r="Q141" i="16"/>
  <c r="Q57" i="16" s="1"/>
  <c r="N220" i="16"/>
  <c r="P144" i="16"/>
  <c r="I78" i="16"/>
  <c r="O146" i="16"/>
  <c r="O80" i="16"/>
  <c r="P102" i="16"/>
  <c r="P139" i="30" s="1"/>
  <c r="N138" i="16"/>
  <c r="N137" i="30" s="1"/>
  <c r="P56" i="16"/>
  <c r="P72" i="16"/>
  <c r="O140" i="16"/>
  <c r="O213" i="16"/>
  <c r="K99" i="16"/>
  <c r="J79" i="16"/>
  <c r="J145" i="16"/>
  <c r="P95" i="16"/>
  <c r="O152" i="16"/>
  <c r="M101" i="16"/>
  <c r="M158" i="16"/>
  <c r="M144" i="30" s="1"/>
  <c r="N170" i="16"/>
  <c r="N165" i="16" s="1"/>
  <c r="N146" i="30" s="1"/>
  <c r="P167" i="16"/>
  <c r="O166" i="16"/>
  <c r="O87" i="16"/>
  <c r="O142" i="30" s="1"/>
  <c r="N159" i="16"/>
  <c r="N162" i="16"/>
  <c r="P94" i="16"/>
  <c r="O151" i="16"/>
  <c r="O93" i="16"/>
  <c r="Q100" i="16"/>
  <c r="R45" i="16"/>
  <c r="O156" i="16"/>
  <c r="N155" i="16"/>
  <c r="N143" i="30" s="1"/>
  <c r="J138" i="30" l="1"/>
  <c r="K86" i="16"/>
  <c r="O106" i="16"/>
  <c r="O113" i="16"/>
  <c r="R154" i="16"/>
  <c r="R153" i="16"/>
  <c r="P172" i="16"/>
  <c r="R103" i="16"/>
  <c r="R104" i="16" s="1"/>
  <c r="R142" i="16"/>
  <c r="R73" i="16" s="1"/>
  <c r="R141" i="16"/>
  <c r="R57" i="16" s="1"/>
  <c r="R139" i="16"/>
  <c r="O220" i="16"/>
  <c r="Q144" i="16"/>
  <c r="J82" i="16"/>
  <c r="J78" i="16" s="1"/>
  <c r="J143" i="16"/>
  <c r="J136" i="30" s="1"/>
  <c r="P146" i="16"/>
  <c r="P80" i="16"/>
  <c r="Q102" i="16"/>
  <c r="Q139" i="30" s="1"/>
  <c r="O138" i="16"/>
  <c r="O137" i="30" s="1"/>
  <c r="Q56" i="16"/>
  <c r="Q72" i="16"/>
  <c r="P213" i="16"/>
  <c r="T131" i="30" s="1"/>
  <c r="P140" i="16"/>
  <c r="K137" i="16"/>
  <c r="K81" i="16" s="1"/>
  <c r="L99" i="16"/>
  <c r="K145" i="16"/>
  <c r="K143" i="16" s="1"/>
  <c r="K136" i="30" s="1"/>
  <c r="K79" i="16"/>
  <c r="Q95" i="16"/>
  <c r="P152" i="16"/>
  <c r="N101" i="16"/>
  <c r="O101" i="16" s="1"/>
  <c r="N158" i="16"/>
  <c r="N144" i="30" s="1"/>
  <c r="O170" i="16"/>
  <c r="O165" i="16" s="1"/>
  <c r="O146" i="30" s="1"/>
  <c r="Q167" i="16"/>
  <c r="P166" i="16"/>
  <c r="P87" i="16"/>
  <c r="P142" i="30" s="1"/>
  <c r="O159" i="16"/>
  <c r="O162" i="16"/>
  <c r="P93" i="16"/>
  <c r="Q94" i="16"/>
  <c r="P151" i="16"/>
  <c r="S45" i="16"/>
  <c r="R100" i="16"/>
  <c r="O155" i="16"/>
  <c r="O143" i="30" s="1"/>
  <c r="P156" i="16"/>
  <c r="K138" i="30" l="1"/>
  <c r="L137" i="16"/>
  <c r="L81" i="16" s="1"/>
  <c r="L86" i="16"/>
  <c r="G127" i="30"/>
  <c r="K127" i="30"/>
  <c r="P106" i="16"/>
  <c r="P113" i="16"/>
  <c r="S154" i="16"/>
  <c r="S153" i="16"/>
  <c r="Q172" i="16"/>
  <c r="S103" i="16"/>
  <c r="S104" i="16" s="1"/>
  <c r="S141" i="16"/>
  <c r="S57" i="16" s="1"/>
  <c r="S139" i="16"/>
  <c r="S142" i="16"/>
  <c r="S73" i="16" s="1"/>
  <c r="R144" i="16"/>
  <c r="Q146" i="16"/>
  <c r="Q80" i="16"/>
  <c r="K82" i="16"/>
  <c r="R102" i="16"/>
  <c r="R139" i="30" s="1"/>
  <c r="P138" i="16"/>
  <c r="P137" i="30" s="1"/>
  <c r="R56" i="16"/>
  <c r="R72" i="16"/>
  <c r="P220" i="16"/>
  <c r="T125" i="30" s="1"/>
  <c r="Q213" i="16"/>
  <c r="Q140" i="16"/>
  <c r="M99" i="16"/>
  <c r="L79" i="16"/>
  <c r="L145" i="16"/>
  <c r="L143" i="16" s="1"/>
  <c r="L136" i="30" s="1"/>
  <c r="Q152" i="16"/>
  <c r="R95" i="16"/>
  <c r="P101" i="16"/>
  <c r="O158" i="16"/>
  <c r="O144" i="30" s="1"/>
  <c r="P170" i="16"/>
  <c r="P165" i="16" s="1"/>
  <c r="P146" i="30" s="1"/>
  <c r="R167" i="16"/>
  <c r="Q166" i="16"/>
  <c r="Q87" i="16"/>
  <c r="Q142" i="30" s="1"/>
  <c r="P162" i="16"/>
  <c r="P159" i="16"/>
  <c r="R94" i="16"/>
  <c r="Q93" i="16"/>
  <c r="Q151" i="16"/>
  <c r="S100" i="16"/>
  <c r="T45" i="16"/>
  <c r="Q156" i="16"/>
  <c r="P155" i="16"/>
  <c r="P143" i="30" s="1"/>
  <c r="L138" i="30" l="1"/>
  <c r="M86" i="16"/>
  <c r="Q106" i="16"/>
  <c r="Q113" i="16"/>
  <c r="T153" i="16"/>
  <c r="T154" i="16"/>
  <c r="R172" i="16"/>
  <c r="T103" i="16"/>
  <c r="T104" i="16" s="1"/>
  <c r="T142" i="16"/>
  <c r="T73" i="16" s="1"/>
  <c r="T141" i="16"/>
  <c r="T57" i="16" s="1"/>
  <c r="T139" i="16"/>
  <c r="K78" i="16"/>
  <c r="S144" i="16"/>
  <c r="R146" i="16"/>
  <c r="R80" i="16"/>
  <c r="L82" i="16"/>
  <c r="L78" i="16" s="1"/>
  <c r="S102" i="16"/>
  <c r="S139" i="30" s="1"/>
  <c r="Q138" i="16"/>
  <c r="Q137" i="30" s="1"/>
  <c r="S56" i="16"/>
  <c r="S72" i="16"/>
  <c r="M79" i="16"/>
  <c r="Q220" i="16"/>
  <c r="R213" i="16"/>
  <c r="R140" i="16"/>
  <c r="N99" i="16"/>
  <c r="M145" i="16"/>
  <c r="M143" i="16" s="1"/>
  <c r="M136" i="30" s="1"/>
  <c r="M137" i="16"/>
  <c r="M81" i="16" s="1"/>
  <c r="S95" i="16"/>
  <c r="R152" i="16"/>
  <c r="Q101" i="16"/>
  <c r="P158" i="16"/>
  <c r="P144" i="30" s="1"/>
  <c r="Q170" i="16"/>
  <c r="Q165" i="16" s="1"/>
  <c r="Q146" i="30" s="1"/>
  <c r="R87" i="16"/>
  <c r="S167" i="16"/>
  <c r="R166" i="16"/>
  <c r="R151" i="16"/>
  <c r="R93" i="16"/>
  <c r="S94" i="16"/>
  <c r="Q162" i="16"/>
  <c r="Q159" i="16"/>
  <c r="T100" i="16"/>
  <c r="U45" i="16"/>
  <c r="R156" i="16"/>
  <c r="Q155" i="16"/>
  <c r="Q143" i="30" s="1"/>
  <c r="S87" i="16" l="1"/>
  <c r="S142" i="30" s="1"/>
  <c r="R142" i="30"/>
  <c r="N86" i="16"/>
  <c r="M138" i="30"/>
  <c r="R106" i="16"/>
  <c r="R113" i="16"/>
  <c r="U153" i="16"/>
  <c r="U154" i="16"/>
  <c r="S172" i="16"/>
  <c r="U103" i="16"/>
  <c r="U104" i="16" s="1"/>
  <c r="U142" i="16"/>
  <c r="U73" i="16" s="1"/>
  <c r="U141" i="16"/>
  <c r="U57" i="16" s="1"/>
  <c r="U139" i="16"/>
  <c r="T144" i="16"/>
  <c r="S146" i="16"/>
  <c r="S80" i="16"/>
  <c r="M82" i="16"/>
  <c r="M78" i="16" s="1"/>
  <c r="T102" i="16"/>
  <c r="T139" i="30" s="1"/>
  <c r="R138" i="16"/>
  <c r="R137" i="30" s="1"/>
  <c r="T56" i="16"/>
  <c r="T72" i="16"/>
  <c r="R220" i="16"/>
  <c r="S213" i="16"/>
  <c r="O99" i="16"/>
  <c r="N79" i="16"/>
  <c r="N145" i="16"/>
  <c r="N143" i="16" s="1"/>
  <c r="N136" i="30" s="1"/>
  <c r="S140" i="16"/>
  <c r="N137" i="16"/>
  <c r="N81" i="16" s="1"/>
  <c r="T95" i="16"/>
  <c r="S152" i="16"/>
  <c r="R101" i="16"/>
  <c r="Q158" i="16"/>
  <c r="Q144" i="30" s="1"/>
  <c r="R170" i="16"/>
  <c r="R165" i="16" s="1"/>
  <c r="R146" i="30" s="1"/>
  <c r="T167" i="16"/>
  <c r="S166" i="16"/>
  <c r="R159" i="16"/>
  <c r="R162" i="16"/>
  <c r="T94" i="16"/>
  <c r="S151" i="16"/>
  <c r="S93" i="16"/>
  <c r="U100" i="16"/>
  <c r="T87" i="16"/>
  <c r="T142" i="30" s="1"/>
  <c r="R155" i="16"/>
  <c r="R143" i="30" s="1"/>
  <c r="S156" i="16"/>
  <c r="O79" i="16" l="1"/>
  <c r="O86" i="16"/>
  <c r="N138" i="30"/>
  <c r="S106" i="16"/>
  <c r="S113" i="16"/>
  <c r="T172" i="16"/>
  <c r="U144" i="16"/>
  <c r="T146" i="16"/>
  <c r="T80" i="16"/>
  <c r="N82" i="16"/>
  <c r="N78" i="16" s="1"/>
  <c r="U102" i="16"/>
  <c r="U139" i="30" s="1"/>
  <c r="S138" i="16"/>
  <c r="S137" i="30" s="1"/>
  <c r="U56" i="16"/>
  <c r="U72" i="16"/>
  <c r="T213" i="16"/>
  <c r="S220" i="16"/>
  <c r="O137" i="16"/>
  <c r="O81" i="16" s="1"/>
  <c r="O145" i="16"/>
  <c r="P99" i="16"/>
  <c r="T140" i="16"/>
  <c r="U95" i="16"/>
  <c r="U152" i="16" s="1"/>
  <c r="T152" i="16"/>
  <c r="S101" i="16"/>
  <c r="R158" i="16"/>
  <c r="R144" i="30" s="1"/>
  <c r="S170" i="16"/>
  <c r="S165" i="16" s="1"/>
  <c r="S146" i="30" s="1"/>
  <c r="U167" i="16"/>
  <c r="T166" i="16"/>
  <c r="S159" i="16"/>
  <c r="S162" i="16"/>
  <c r="T151" i="16"/>
  <c r="U94" i="16"/>
  <c r="T93" i="16"/>
  <c r="U87" i="16"/>
  <c r="U142" i="30" s="1"/>
  <c r="S155" i="16"/>
  <c r="S143" i="30" s="1"/>
  <c r="T156" i="16"/>
  <c r="O138" i="30" l="1"/>
  <c r="P145" i="16"/>
  <c r="P143" i="16" s="1"/>
  <c r="P136" i="30" s="1"/>
  <c r="P86" i="16"/>
  <c r="T106" i="16"/>
  <c r="T113" i="16"/>
  <c r="U172" i="16"/>
  <c r="T220" i="16"/>
  <c r="O82" i="16"/>
  <c r="O78" i="16" s="1"/>
  <c r="O143" i="16"/>
  <c r="O136" i="30" s="1"/>
  <c r="U146" i="16"/>
  <c r="U80" i="16"/>
  <c r="T138" i="16"/>
  <c r="T137" i="30" s="1"/>
  <c r="U213" i="16"/>
  <c r="U131" i="30" s="1"/>
  <c r="U140" i="16"/>
  <c r="P79" i="16"/>
  <c r="P137" i="16"/>
  <c r="P81" i="16" s="1"/>
  <c r="Q99" i="16"/>
  <c r="T101" i="16"/>
  <c r="S158" i="16"/>
  <c r="S144" i="30" s="1"/>
  <c r="T170" i="16"/>
  <c r="T165" i="16" s="1"/>
  <c r="T146" i="30" s="1"/>
  <c r="U166" i="16"/>
  <c r="T162" i="16"/>
  <c r="T159" i="16"/>
  <c r="U93" i="16"/>
  <c r="U151" i="16"/>
  <c r="U156" i="16"/>
  <c r="T155" i="16"/>
  <c r="T143" i="30" s="1"/>
  <c r="P138" i="30" l="1"/>
  <c r="Q145" i="16"/>
  <c r="Q82" i="16" s="1"/>
  <c r="Q86" i="16"/>
  <c r="P82" i="16"/>
  <c r="P78" i="16" s="1"/>
  <c r="H127" i="30"/>
  <c r="L127" i="30"/>
  <c r="U106" i="16"/>
  <c r="U113" i="16"/>
  <c r="F126" i="30"/>
  <c r="J126" i="30"/>
  <c r="F131" i="30"/>
  <c r="J123" i="30"/>
  <c r="J128" i="30"/>
  <c r="J122" i="30"/>
  <c r="J131" i="30"/>
  <c r="F128" i="30"/>
  <c r="F122" i="30"/>
  <c r="F123" i="30"/>
  <c r="J125" i="30"/>
  <c r="F125" i="30"/>
  <c r="U138" i="16"/>
  <c r="U137" i="30" s="1"/>
  <c r="U220" i="16"/>
  <c r="U125" i="30" s="1"/>
  <c r="Q79" i="16"/>
  <c r="Q137" i="16"/>
  <c r="Q81" i="16" s="1"/>
  <c r="R99" i="16"/>
  <c r="F132" i="16"/>
  <c r="H71" i="29"/>
  <c r="F72" i="29"/>
  <c r="F70" i="29" s="1"/>
  <c r="U101" i="16"/>
  <c r="F136" i="16"/>
  <c r="T158" i="16"/>
  <c r="T144" i="30" s="1"/>
  <c r="H52" i="16"/>
  <c r="H54" i="16"/>
  <c r="H70" i="16"/>
  <c r="H68" i="16"/>
  <c r="F54" i="16"/>
  <c r="F68" i="16"/>
  <c r="F70" i="16"/>
  <c r="F52" i="16"/>
  <c r="H124" i="16"/>
  <c r="F124" i="16"/>
  <c r="U170" i="16"/>
  <c r="U165" i="16" s="1"/>
  <c r="U146" i="30" s="1"/>
  <c r="U162" i="16"/>
  <c r="U159" i="16"/>
  <c r="U155" i="16"/>
  <c r="U143" i="30" s="1"/>
  <c r="Q143" i="16" l="1"/>
  <c r="Q136" i="30" s="1"/>
  <c r="Q138" i="30"/>
  <c r="R145" i="16"/>
  <c r="R82" i="16" s="1"/>
  <c r="R86" i="16"/>
  <c r="Q78" i="16"/>
  <c r="F71" i="16"/>
  <c r="S99" i="16"/>
  <c r="R137" i="16"/>
  <c r="R81" i="16" s="1"/>
  <c r="R79" i="16"/>
  <c r="F66" i="29"/>
  <c r="I71" i="29"/>
  <c r="U158" i="16"/>
  <c r="U144" i="30" s="1"/>
  <c r="I52" i="16"/>
  <c r="I68" i="16"/>
  <c r="I54" i="16"/>
  <c r="I70" i="16"/>
  <c r="I124" i="16"/>
  <c r="R138" i="30" l="1"/>
  <c r="R143" i="16"/>
  <c r="R136" i="30" s="1"/>
  <c r="S145" i="16"/>
  <c r="S82" i="16" s="1"/>
  <c r="S86" i="16"/>
  <c r="R78" i="16"/>
  <c r="F128" i="16"/>
  <c r="S79" i="16"/>
  <c r="T99" i="16"/>
  <c r="S137" i="16"/>
  <c r="S81" i="16" s="1"/>
  <c r="F67" i="29"/>
  <c r="J71" i="29"/>
  <c r="F69" i="16"/>
  <c r="J130" i="30" s="1"/>
  <c r="F131" i="16"/>
  <c r="F134" i="16"/>
  <c r="F55" i="16"/>
  <c r="J68" i="16"/>
  <c r="J52" i="16"/>
  <c r="J70" i="16"/>
  <c r="J124" i="16"/>
  <c r="S143" i="16" l="1"/>
  <c r="S136" i="30" s="1"/>
  <c r="S138" i="30"/>
  <c r="T145" i="16"/>
  <c r="T82" i="16" s="1"/>
  <c r="T86" i="16"/>
  <c r="K131" i="30"/>
  <c r="G122" i="30"/>
  <c r="K122" i="30"/>
  <c r="K123" i="30"/>
  <c r="G131" i="30"/>
  <c r="G123" i="30"/>
  <c r="K126" i="30"/>
  <c r="G126" i="30"/>
  <c r="K128" i="30"/>
  <c r="G128" i="30"/>
  <c r="K125" i="30"/>
  <c r="G125" i="30"/>
  <c r="F67" i="16"/>
  <c r="S78" i="16"/>
  <c r="T137" i="16"/>
  <c r="T81" i="16" s="1"/>
  <c r="T79" i="16"/>
  <c r="U99" i="16"/>
  <c r="F53" i="16"/>
  <c r="F130" i="30" s="1"/>
  <c r="K71" i="29"/>
  <c r="F127" i="16"/>
  <c r="F123" i="16" s="1"/>
  <c r="F141" i="30" s="1"/>
  <c r="K132" i="16"/>
  <c r="K136" i="16"/>
  <c r="K52" i="16"/>
  <c r="K68" i="16"/>
  <c r="K70" i="16"/>
  <c r="K54" i="16"/>
  <c r="K124" i="16"/>
  <c r="T143" i="16" l="1"/>
  <c r="T136" i="30" s="1"/>
  <c r="T138" i="30"/>
  <c r="U86" i="16"/>
  <c r="F51" i="16"/>
  <c r="T78" i="16"/>
  <c r="K71" i="16"/>
  <c r="U137" i="16"/>
  <c r="U81" i="16" s="1"/>
  <c r="U145" i="16"/>
  <c r="U79" i="16"/>
  <c r="G132" i="16"/>
  <c r="L71" i="29"/>
  <c r="L54" i="16"/>
  <c r="L70" i="16"/>
  <c r="L52" i="16"/>
  <c r="L68" i="16"/>
  <c r="L124" i="16"/>
  <c r="U138" i="30" l="1"/>
  <c r="M127" i="30"/>
  <c r="I127" i="30"/>
  <c r="H136" i="16"/>
  <c r="G136" i="16"/>
  <c r="U82" i="16"/>
  <c r="U143" i="16"/>
  <c r="U136" i="30" s="1"/>
  <c r="K69" i="16"/>
  <c r="K130" i="30" s="1"/>
  <c r="K134" i="16"/>
  <c r="M71" i="29"/>
  <c r="K53" i="16"/>
  <c r="K128" i="16"/>
  <c r="M70" i="16"/>
  <c r="M68" i="16"/>
  <c r="M52" i="16"/>
  <c r="M54" i="16"/>
  <c r="M124" i="16"/>
  <c r="H132" i="16" l="1"/>
  <c r="U78" i="16"/>
  <c r="K67" i="16"/>
  <c r="G69" i="16"/>
  <c r="G71" i="16"/>
  <c r="G55" i="16"/>
  <c r="G53" i="16"/>
  <c r="H71" i="16"/>
  <c r="K131" i="16"/>
  <c r="K127" i="16" s="1"/>
  <c r="K123" i="16" s="1"/>
  <c r="K141" i="30" s="1"/>
  <c r="K55" i="16"/>
  <c r="G130" i="30" s="1"/>
  <c r="N71" i="29"/>
  <c r="N68" i="16"/>
  <c r="N54" i="16"/>
  <c r="N52" i="16"/>
  <c r="N70" i="16"/>
  <c r="N124" i="16"/>
  <c r="J132" i="16" l="1"/>
  <c r="I132" i="16"/>
  <c r="J136" i="16"/>
  <c r="J71" i="16" s="1"/>
  <c r="I136" i="16"/>
  <c r="I71" i="16" s="1"/>
  <c r="G67" i="16"/>
  <c r="G51" i="16"/>
  <c r="K51" i="16"/>
  <c r="H128" i="16"/>
  <c r="G131" i="16"/>
  <c r="G128" i="16"/>
  <c r="G134" i="16"/>
  <c r="O71" i="29"/>
  <c r="H69" i="16"/>
  <c r="H131" i="16"/>
  <c r="H134" i="16"/>
  <c r="H55" i="16"/>
  <c r="O54" i="16"/>
  <c r="O68" i="16"/>
  <c r="O70" i="16"/>
  <c r="O52" i="16"/>
  <c r="O124" i="16"/>
  <c r="L122" i="30" l="1"/>
  <c r="H131" i="30"/>
  <c r="H122" i="30"/>
  <c r="H123" i="30"/>
  <c r="L131" i="30"/>
  <c r="L123" i="30"/>
  <c r="L126" i="30"/>
  <c r="H126" i="30"/>
  <c r="L128" i="30"/>
  <c r="H128" i="30"/>
  <c r="H125" i="30"/>
  <c r="L125" i="30"/>
  <c r="H67" i="16"/>
  <c r="H53" i="16"/>
  <c r="H51" i="16" s="1"/>
  <c r="I128" i="16"/>
  <c r="G127" i="16"/>
  <c r="G123" i="16" s="1"/>
  <c r="G141" i="30" s="1"/>
  <c r="P71" i="29"/>
  <c r="H127" i="16"/>
  <c r="H123" i="16" s="1"/>
  <c r="H141" i="30" s="1"/>
  <c r="J134" i="16"/>
  <c r="J55" i="16"/>
  <c r="I131" i="16"/>
  <c r="I69" i="16"/>
  <c r="J69" i="16"/>
  <c r="J131" i="16"/>
  <c r="P132" i="16"/>
  <c r="I134" i="16"/>
  <c r="I55" i="16"/>
  <c r="P136" i="16"/>
  <c r="P68" i="16"/>
  <c r="P54" i="16"/>
  <c r="P70" i="16"/>
  <c r="P52" i="16"/>
  <c r="P124" i="16"/>
  <c r="I67" i="16" l="1"/>
  <c r="J67" i="16"/>
  <c r="I53" i="16"/>
  <c r="I51" i="16" s="1"/>
  <c r="P71" i="16"/>
  <c r="J128" i="16"/>
  <c r="J127" i="16" s="1"/>
  <c r="J123" i="16" s="1"/>
  <c r="J141" i="30" s="1"/>
  <c r="L132" i="16"/>
  <c r="Q71" i="29"/>
  <c r="I127" i="16"/>
  <c r="I123" i="16" s="1"/>
  <c r="I141" i="30" s="1"/>
  <c r="Q54" i="16"/>
  <c r="Q68" i="16"/>
  <c r="Q70" i="16"/>
  <c r="Q52" i="16"/>
  <c r="Q124" i="16"/>
  <c r="M136" i="16" l="1"/>
  <c r="L136" i="16"/>
  <c r="J53" i="16"/>
  <c r="J51" i="16" s="1"/>
  <c r="P69" i="16"/>
  <c r="L130" i="30" s="1"/>
  <c r="R71" i="29"/>
  <c r="P55" i="16"/>
  <c r="P134" i="16"/>
  <c r="P128" i="16"/>
  <c r="P53" i="16"/>
  <c r="R68" i="16"/>
  <c r="R52" i="16"/>
  <c r="R54" i="16"/>
  <c r="R70" i="16"/>
  <c r="R124" i="16"/>
  <c r="M132" i="16" l="1"/>
  <c r="O136" i="16"/>
  <c r="N136" i="16"/>
  <c r="H130" i="30"/>
  <c r="P67" i="16"/>
  <c r="P51" i="16"/>
  <c r="L71" i="16"/>
  <c r="P131" i="16"/>
  <c r="P127" i="16" s="1"/>
  <c r="P123" i="16" s="1"/>
  <c r="P141" i="30" s="1"/>
  <c r="L69" i="16"/>
  <c r="L128" i="16"/>
  <c r="M71" i="16"/>
  <c r="S71" i="29"/>
  <c r="L55" i="16"/>
  <c r="S68" i="16"/>
  <c r="S70" i="16"/>
  <c r="S52" i="16"/>
  <c r="S54" i="16"/>
  <c r="S124" i="16"/>
  <c r="O132" i="16" l="1"/>
  <c r="N132" i="16"/>
  <c r="L67" i="16"/>
  <c r="L131" i="16"/>
  <c r="L127" i="16" s="1"/>
  <c r="O71" i="16"/>
  <c r="N71" i="16"/>
  <c r="M128" i="16"/>
  <c r="M69" i="16"/>
  <c r="L53" i="16"/>
  <c r="L134" i="16"/>
  <c r="T71" i="29"/>
  <c r="M55" i="16"/>
  <c r="M134" i="16"/>
  <c r="T52" i="16"/>
  <c r="T54" i="16"/>
  <c r="T68" i="16"/>
  <c r="T70" i="16"/>
  <c r="T124" i="16"/>
  <c r="I122" i="30" l="1"/>
  <c r="M122" i="30"/>
  <c r="M123" i="30"/>
  <c r="I131" i="30"/>
  <c r="I123" i="30"/>
  <c r="M131" i="30"/>
  <c r="I126" i="30"/>
  <c r="M126" i="30"/>
  <c r="M128" i="30"/>
  <c r="I128" i="30"/>
  <c r="M125" i="30"/>
  <c r="I125" i="30"/>
  <c r="L123" i="16"/>
  <c r="L141" i="30" s="1"/>
  <c r="M67" i="16"/>
  <c r="L51" i="16"/>
  <c r="E192" i="16"/>
  <c r="F203" i="16" s="1"/>
  <c r="M53" i="16"/>
  <c r="O131" i="16"/>
  <c r="N131" i="16"/>
  <c r="N128" i="16"/>
  <c r="M131" i="16"/>
  <c r="M127" i="16" s="1"/>
  <c r="M123" i="16" s="1"/>
  <c r="M141" i="30" s="1"/>
  <c r="U71" i="29"/>
  <c r="U72" i="29"/>
  <c r="N134" i="16"/>
  <c r="N55" i="16"/>
  <c r="U132" i="16"/>
  <c r="O55" i="16"/>
  <c r="O134" i="16"/>
  <c r="U136" i="16"/>
  <c r="U70" i="16"/>
  <c r="U68" i="16"/>
  <c r="U54" i="16"/>
  <c r="U52" i="16"/>
  <c r="U124" i="16"/>
  <c r="I150" i="16" l="1"/>
  <c r="Q150" i="16"/>
  <c r="J150" i="16"/>
  <c r="N150" i="16"/>
  <c r="R150" i="16"/>
  <c r="F150" i="16"/>
  <c r="G150" i="16"/>
  <c r="K150" i="16"/>
  <c r="O150" i="16"/>
  <c r="S150" i="16"/>
  <c r="H150" i="16"/>
  <c r="L150" i="16"/>
  <c r="P150" i="16"/>
  <c r="T150" i="16"/>
  <c r="M150" i="16"/>
  <c r="U150" i="16"/>
  <c r="N129" i="30"/>
  <c r="U203" i="16"/>
  <c r="Q129" i="30" s="1"/>
  <c r="L203" i="16"/>
  <c r="T203" i="16"/>
  <c r="I203" i="16"/>
  <c r="K203" i="16"/>
  <c r="O129" i="30" s="1"/>
  <c r="M203" i="16"/>
  <c r="J203" i="16"/>
  <c r="Q203" i="16"/>
  <c r="P203" i="16"/>
  <c r="P129" i="30" s="1"/>
  <c r="G203" i="16"/>
  <c r="R203" i="16"/>
  <c r="S203" i="16"/>
  <c r="N203" i="16"/>
  <c r="H203" i="16"/>
  <c r="O203" i="16"/>
  <c r="J217" i="16"/>
  <c r="N217" i="16"/>
  <c r="R217" i="16"/>
  <c r="F217" i="16"/>
  <c r="R130" i="30" s="1"/>
  <c r="J215" i="16"/>
  <c r="N215" i="16"/>
  <c r="N212" i="16" s="1"/>
  <c r="N149" i="16" s="1"/>
  <c r="R215" i="16"/>
  <c r="F215" i="16"/>
  <c r="H217" i="16"/>
  <c r="T217" i="16"/>
  <c r="P215" i="16"/>
  <c r="T129" i="30" s="1"/>
  <c r="I217" i="16"/>
  <c r="Q217" i="16"/>
  <c r="I215" i="16"/>
  <c r="Q215" i="16"/>
  <c r="G217" i="16"/>
  <c r="K217" i="16"/>
  <c r="S130" i="30" s="1"/>
  <c r="O217" i="16"/>
  <c r="S217" i="16"/>
  <c r="G215" i="16"/>
  <c r="K215" i="16"/>
  <c r="S129" i="30" s="1"/>
  <c r="O215" i="16"/>
  <c r="O212" i="16" s="1"/>
  <c r="O149" i="16" s="1"/>
  <c r="S215" i="16"/>
  <c r="L217" i="16"/>
  <c r="P217" i="16"/>
  <c r="T130" i="30" s="1"/>
  <c r="H215" i="16"/>
  <c r="L215" i="16"/>
  <c r="T215" i="16"/>
  <c r="M217" i="16"/>
  <c r="U217" i="16"/>
  <c r="U130" i="30" s="1"/>
  <c r="M215" i="16"/>
  <c r="U215" i="16"/>
  <c r="U129" i="30" s="1"/>
  <c r="M51" i="16"/>
  <c r="J205" i="16"/>
  <c r="H205" i="16"/>
  <c r="G205" i="16"/>
  <c r="F205" i="16"/>
  <c r="N130" i="30" s="1"/>
  <c r="I205" i="16"/>
  <c r="L205" i="16"/>
  <c r="K205" i="16"/>
  <c r="O130" i="30" s="1"/>
  <c r="M205" i="16"/>
  <c r="N205" i="16"/>
  <c r="O205" i="16"/>
  <c r="P205" i="16"/>
  <c r="P130" i="30" s="1"/>
  <c r="Q205" i="16"/>
  <c r="R205" i="16"/>
  <c r="S205" i="16"/>
  <c r="T205" i="16"/>
  <c r="U205" i="16"/>
  <c r="Q130" i="30" s="1"/>
  <c r="N69" i="16"/>
  <c r="N53" i="16"/>
  <c r="N51" i="16" s="1"/>
  <c r="O69" i="16"/>
  <c r="O128" i="16"/>
  <c r="O127" i="16" s="1"/>
  <c r="O123" i="16" s="1"/>
  <c r="O141" i="30" s="1"/>
  <c r="U66" i="29"/>
  <c r="U70" i="29"/>
  <c r="N127" i="16"/>
  <c r="N123" i="16" s="1"/>
  <c r="N141" i="30" s="1"/>
  <c r="R212" i="16" l="1"/>
  <c r="R149" i="16" s="1"/>
  <c r="R75" i="16" s="1"/>
  <c r="R136" i="16"/>
  <c r="Q136" i="16"/>
  <c r="Q71" i="16" s="1"/>
  <c r="Q132" i="16"/>
  <c r="O75" i="16"/>
  <c r="N75" i="16"/>
  <c r="J212" i="16"/>
  <c r="J149" i="16" s="1"/>
  <c r="J75" i="16" s="1"/>
  <c r="G212" i="16"/>
  <c r="G149" i="16" s="1"/>
  <c r="G75" i="16" s="1"/>
  <c r="H212" i="16"/>
  <c r="S212" i="16"/>
  <c r="F212" i="16"/>
  <c r="R129" i="30"/>
  <c r="M212" i="16"/>
  <c r="Q212" i="16"/>
  <c r="I212" i="16"/>
  <c r="U200" i="16"/>
  <c r="U148" i="16" s="1"/>
  <c r="L212" i="16"/>
  <c r="P212" i="16"/>
  <c r="G200" i="16"/>
  <c r="G148" i="16" s="1"/>
  <c r="M200" i="16"/>
  <c r="M148" i="16" s="1"/>
  <c r="P200" i="16"/>
  <c r="P148" i="16" s="1"/>
  <c r="K200" i="16"/>
  <c r="K148" i="16" s="1"/>
  <c r="L200" i="16"/>
  <c r="L148" i="16" s="1"/>
  <c r="U212" i="16"/>
  <c r="T212" i="16"/>
  <c r="O200" i="16"/>
  <c r="O148" i="16" s="1"/>
  <c r="R200" i="16"/>
  <c r="R148" i="16" s="1"/>
  <c r="J200" i="16"/>
  <c r="J148" i="16" s="1"/>
  <c r="T200" i="16"/>
  <c r="T148" i="16" s="1"/>
  <c r="H200" i="16"/>
  <c r="H148" i="16" s="1"/>
  <c r="N200" i="16"/>
  <c r="N148" i="16" s="1"/>
  <c r="K212" i="16"/>
  <c r="S200" i="16"/>
  <c r="S148" i="16" s="1"/>
  <c r="Q200" i="16"/>
  <c r="Q148" i="16" s="1"/>
  <c r="I200" i="16"/>
  <c r="I148" i="16" s="1"/>
  <c r="F200" i="16"/>
  <c r="F148" i="16" s="1"/>
  <c r="F59" i="16" s="1"/>
  <c r="N211" i="16"/>
  <c r="O211" i="16"/>
  <c r="J211" i="16"/>
  <c r="N67" i="16"/>
  <c r="O67" i="16"/>
  <c r="U71" i="16"/>
  <c r="U69" i="16"/>
  <c r="O53" i="16"/>
  <c r="U55" i="16"/>
  <c r="U67" i="29"/>
  <c r="U53" i="16"/>
  <c r="U128" i="16"/>
  <c r="R211" i="16" l="1"/>
  <c r="I130" i="30"/>
  <c r="R132" i="16"/>
  <c r="T136" i="16"/>
  <c r="S136" i="16"/>
  <c r="G211" i="16"/>
  <c r="S59" i="16"/>
  <c r="P59" i="16"/>
  <c r="Q59" i="16"/>
  <c r="H59" i="16"/>
  <c r="O59" i="16"/>
  <c r="O147" i="16"/>
  <c r="K59" i="16"/>
  <c r="T59" i="16"/>
  <c r="F124" i="30"/>
  <c r="J59" i="16"/>
  <c r="J147" i="16"/>
  <c r="M59" i="16"/>
  <c r="U59" i="16"/>
  <c r="I59" i="16"/>
  <c r="N59" i="16"/>
  <c r="N147" i="16"/>
  <c r="R59" i="16"/>
  <c r="R147" i="16"/>
  <c r="L59" i="16"/>
  <c r="G59" i="16"/>
  <c r="G147" i="16"/>
  <c r="P211" i="16"/>
  <c r="P149" i="16"/>
  <c r="P147" i="16" s="1"/>
  <c r="S211" i="16"/>
  <c r="S149" i="16"/>
  <c r="S75" i="16" s="1"/>
  <c r="M211" i="16"/>
  <c r="M149" i="16"/>
  <c r="M147" i="16" s="1"/>
  <c r="K211" i="16"/>
  <c r="K149" i="16"/>
  <c r="U211" i="16"/>
  <c r="U149" i="16"/>
  <c r="Q211" i="16"/>
  <c r="Q149" i="16"/>
  <c r="Q75" i="16" s="1"/>
  <c r="T211" i="16"/>
  <c r="T149" i="16"/>
  <c r="T75" i="16" s="1"/>
  <c r="L211" i="16"/>
  <c r="L149" i="16"/>
  <c r="H211" i="16"/>
  <c r="H149" i="16"/>
  <c r="H147" i="16" s="1"/>
  <c r="I211" i="16"/>
  <c r="I149" i="16"/>
  <c r="I75" i="16" s="1"/>
  <c r="F211" i="16"/>
  <c r="F149" i="16"/>
  <c r="F147" i="16" s="1"/>
  <c r="U132" i="30"/>
  <c r="O132" i="30"/>
  <c r="N132" i="30"/>
  <c r="Q132" i="30"/>
  <c r="P132" i="30"/>
  <c r="U199" i="16"/>
  <c r="P199" i="16"/>
  <c r="S132" i="30"/>
  <c r="T132" i="30"/>
  <c r="K199" i="16"/>
  <c r="F199" i="16"/>
  <c r="R132" i="30"/>
  <c r="M130" i="30"/>
  <c r="T199" i="16"/>
  <c r="Q199" i="16"/>
  <c r="L199" i="16"/>
  <c r="M199" i="16"/>
  <c r="N199" i="16"/>
  <c r="R199" i="16"/>
  <c r="H199" i="16"/>
  <c r="S199" i="16"/>
  <c r="G199" i="16"/>
  <c r="J199" i="16"/>
  <c r="I199" i="16"/>
  <c r="O199" i="16"/>
  <c r="U67" i="16"/>
  <c r="U51" i="16"/>
  <c r="O51" i="16"/>
  <c r="U131" i="16"/>
  <c r="U127" i="16" s="1"/>
  <c r="Q55" i="16"/>
  <c r="Q128" i="16"/>
  <c r="R71" i="16"/>
  <c r="Q131" i="16"/>
  <c r="U134" i="16"/>
  <c r="T132" i="16" l="1"/>
  <c r="S132" i="16"/>
  <c r="L75" i="16"/>
  <c r="K75" i="16"/>
  <c r="K124" i="30" s="1"/>
  <c r="I147" i="16"/>
  <c r="K147" i="16"/>
  <c r="F75" i="16"/>
  <c r="J124" i="30" s="1"/>
  <c r="H75" i="16"/>
  <c r="U75" i="16"/>
  <c r="M124" i="30" s="1"/>
  <c r="M75" i="16"/>
  <c r="P75" i="16"/>
  <c r="L124" i="30" s="1"/>
  <c r="L147" i="16"/>
  <c r="U147" i="16"/>
  <c r="U135" i="30" s="1"/>
  <c r="T147" i="16"/>
  <c r="T135" i="30" s="1"/>
  <c r="Q147" i="16"/>
  <c r="Q135" i="30" s="1"/>
  <c r="S147" i="16"/>
  <c r="S135" i="30" s="1"/>
  <c r="G124" i="30"/>
  <c r="H124" i="30"/>
  <c r="I124" i="30"/>
  <c r="R135" i="30"/>
  <c r="U123" i="16"/>
  <c r="U141" i="30" s="1"/>
  <c r="Q53" i="16"/>
  <c r="Q51" i="16" s="1"/>
  <c r="R131" i="16"/>
  <c r="T71" i="16"/>
  <c r="S71" i="16"/>
  <c r="Q69" i="16"/>
  <c r="Q134" i="16"/>
  <c r="Q127" i="16"/>
  <c r="R53" i="16"/>
  <c r="R128" i="16"/>
  <c r="R134" i="16"/>
  <c r="R55" i="16"/>
  <c r="F135" i="30" l="1"/>
  <c r="G135" i="30"/>
  <c r="P135" i="30"/>
  <c r="L135" i="30"/>
  <c r="I135" i="30"/>
  <c r="K135" i="30"/>
  <c r="N135" i="30"/>
  <c r="J135" i="30"/>
  <c r="H135" i="30"/>
  <c r="O135" i="30"/>
  <c r="M135" i="30"/>
  <c r="R51" i="16"/>
  <c r="Q123" i="16"/>
  <c r="Q141" i="30" s="1"/>
  <c r="Q67" i="16"/>
  <c r="R69" i="16"/>
  <c r="T131" i="16"/>
  <c r="S69" i="16"/>
  <c r="R127" i="16"/>
  <c r="R123" i="16" s="1"/>
  <c r="R141" i="30" s="1"/>
  <c r="S53" i="16"/>
  <c r="S128" i="16"/>
  <c r="S134" i="16"/>
  <c r="S55" i="16"/>
  <c r="T55" i="16"/>
  <c r="T134" i="16"/>
  <c r="S51" i="16" l="1"/>
  <c r="S67" i="16"/>
  <c r="R67" i="16"/>
  <c r="T69" i="16"/>
  <c r="S131" i="16"/>
  <c r="S127" i="16" s="1"/>
  <c r="S123" i="16" s="1"/>
  <c r="S141" i="30" s="1"/>
  <c r="T128" i="16"/>
  <c r="T127" i="16" s="1"/>
  <c r="T123" i="16" s="1"/>
  <c r="T141" i="30" s="1"/>
  <c r="T53" i="16"/>
  <c r="T51" i="16" s="1"/>
  <c r="T67" i="16" l="1"/>
  <c r="G72" i="29" l="1"/>
  <c r="G70" i="29" s="1"/>
  <c r="G66" i="29"/>
  <c r="H72" i="29"/>
  <c r="H70" i="29" s="1"/>
  <c r="G67" i="29" l="1"/>
  <c r="H66" i="29"/>
  <c r="H67" i="29" s="1"/>
  <c r="I66" i="29" l="1"/>
  <c r="I67" i="29" s="1"/>
  <c r="I72" i="29"/>
  <c r="I70" i="29" s="1"/>
  <c r="J66" i="29" l="1"/>
  <c r="J72" i="29"/>
  <c r="J70" i="29" s="1"/>
  <c r="K72" i="29" l="1"/>
  <c r="K70" i="29" s="1"/>
  <c r="K66" i="29"/>
  <c r="J67" i="29"/>
  <c r="L66" i="29" l="1"/>
  <c r="L72" i="29"/>
  <c r="L70" i="29" s="1"/>
  <c r="K67" i="29"/>
  <c r="L67" i="29" l="1"/>
  <c r="M72" i="29"/>
  <c r="M70" i="29" s="1"/>
  <c r="M66" i="29"/>
  <c r="M67" i="29" s="1"/>
  <c r="N66" i="29" l="1"/>
  <c r="N67" i="29" s="1"/>
  <c r="N72" i="29"/>
  <c r="N70" i="29" s="1"/>
  <c r="O72" i="29" l="1"/>
  <c r="O70" i="29" s="1"/>
  <c r="O66" i="29"/>
  <c r="O67" i="29" s="1"/>
  <c r="P66" i="29" l="1"/>
  <c r="P72" i="29"/>
  <c r="P70" i="29" s="1"/>
  <c r="P67" i="29" l="1"/>
  <c r="Q72" i="29"/>
  <c r="Q70" i="29" s="1"/>
  <c r="Q66" i="29"/>
  <c r="Q67" i="29" s="1"/>
  <c r="R72" i="29" l="1"/>
  <c r="R70" i="29" s="1"/>
  <c r="R66" i="29"/>
  <c r="R67" i="29" s="1"/>
  <c r="S66" i="29" l="1"/>
  <c r="S67" i="29" s="1"/>
  <c r="S72" i="29"/>
  <c r="S70" i="29" s="1"/>
  <c r="T72" i="29" l="1"/>
  <c r="T70" i="29" s="1"/>
  <c r="F151" i="30" s="1"/>
  <c r="T66" i="29"/>
  <c r="F149" i="30" s="1"/>
  <c r="T67" i="29" l="1"/>
  <c r="F150" i="30" s="1"/>
  <c r="L48" i="18"/>
  <c r="L119" i="16" s="1"/>
  <c r="T48" i="18"/>
  <c r="T119" i="16" s="1"/>
  <c r="R48" i="18"/>
  <c r="R74" i="29" s="1"/>
  <c r="R76" i="29" s="1"/>
  <c r="U48" i="18"/>
  <c r="U74" i="29" s="1"/>
  <c r="U75" i="29" s="1"/>
  <c r="O48" i="18"/>
  <c r="O74" i="29" s="1"/>
  <c r="J48" i="18"/>
  <c r="J74" i="29" s="1"/>
  <c r="J75" i="29" s="1"/>
  <c r="Q48" i="18"/>
  <c r="Q74" i="29" s="1"/>
  <c r="Q76" i="29" s="1"/>
  <c r="P48" i="18"/>
  <c r="P74" i="29" s="1"/>
  <c r="P76" i="29" s="1"/>
  <c r="K48" i="18"/>
  <c r="K74" i="29" s="1"/>
  <c r="K76" i="29" s="1"/>
  <c r="G48" i="18"/>
  <c r="G119" i="16" s="1"/>
  <c r="N48" i="18"/>
  <c r="S48" i="18"/>
  <c r="S74" i="29" s="1"/>
  <c r="S76" i="29" s="1"/>
  <c r="H48" i="18"/>
  <c r="H119" i="16" s="1"/>
  <c r="M48" i="18"/>
  <c r="M74" i="29" s="1"/>
  <c r="F48" i="18"/>
  <c r="I48" i="18"/>
  <c r="O119" i="16" l="1"/>
  <c r="M119" i="16"/>
  <c r="M120" i="16" s="1"/>
  <c r="M118" i="16" s="1"/>
  <c r="M105" i="16" s="1"/>
  <c r="M84" i="16" s="1"/>
  <c r="Q119" i="16"/>
  <c r="Q120" i="16" s="1"/>
  <c r="Q118" i="16" s="1"/>
  <c r="Q66" i="16" s="1"/>
  <c r="K119" i="16"/>
  <c r="K120" i="16" s="1"/>
  <c r="K118" i="16" s="1"/>
  <c r="K105" i="16" s="1"/>
  <c r="K84" i="16" s="1"/>
  <c r="R119" i="16"/>
  <c r="R120" i="16" s="1"/>
  <c r="R118" i="16" s="1"/>
  <c r="R105" i="16" s="1"/>
  <c r="R84" i="16" s="1"/>
  <c r="G74" i="29"/>
  <c r="G75" i="29" s="1"/>
  <c r="S119" i="16"/>
  <c r="S120" i="16" s="1"/>
  <c r="S118" i="16" s="1"/>
  <c r="S66" i="16" s="1"/>
  <c r="S63" i="16" s="1"/>
  <c r="S62" i="16" s="1"/>
  <c r="T74" i="29"/>
  <c r="T120" i="16" s="1"/>
  <c r="T118" i="16" s="1"/>
  <c r="Q75" i="29"/>
  <c r="S75" i="29"/>
  <c r="P119" i="16"/>
  <c r="P120" i="16" s="1"/>
  <c r="P118" i="16" s="1"/>
  <c r="U119" i="16"/>
  <c r="U120" i="16" s="1"/>
  <c r="U118" i="16" s="1"/>
  <c r="U50" i="16" s="1"/>
  <c r="J119" i="16"/>
  <c r="J120" i="16" s="1"/>
  <c r="J118" i="16" s="1"/>
  <c r="O76" i="29"/>
  <c r="O75" i="29"/>
  <c r="M76" i="29"/>
  <c r="M75" i="29"/>
  <c r="P75" i="29"/>
  <c r="N74" i="29"/>
  <c r="N119" i="16"/>
  <c r="O120" i="16"/>
  <c r="O118" i="16" s="1"/>
  <c r="I74" i="29"/>
  <c r="I119" i="16"/>
  <c r="K75" i="29"/>
  <c r="H74" i="29"/>
  <c r="H120" i="16" s="1"/>
  <c r="H118" i="16" s="1"/>
  <c r="L74" i="29"/>
  <c r="L120" i="16" s="1"/>
  <c r="L118" i="16" s="1"/>
  <c r="U76" i="29"/>
  <c r="J76" i="29"/>
  <c r="F119" i="16"/>
  <c r="F74" i="29"/>
  <c r="R75" i="29"/>
  <c r="G76" i="29" l="1"/>
  <c r="U66" i="16"/>
  <c r="M129" i="30" s="1"/>
  <c r="M132" i="30" s="1"/>
  <c r="R50" i="16"/>
  <c r="R48" i="16" s="1"/>
  <c r="S50" i="16"/>
  <c r="S47" i="16" s="1"/>
  <c r="S46" i="16" s="1"/>
  <c r="N120" i="16"/>
  <c r="N118" i="16" s="1"/>
  <c r="N105" i="16" s="1"/>
  <c r="N84" i="16" s="1"/>
  <c r="K66" i="16"/>
  <c r="K129" i="30" s="1"/>
  <c r="K132" i="30" s="1"/>
  <c r="Q105" i="16"/>
  <c r="T50" i="16"/>
  <c r="T48" i="16" s="1"/>
  <c r="T105" i="16"/>
  <c r="R66" i="16"/>
  <c r="R64" i="16" s="1"/>
  <c r="S105" i="16"/>
  <c r="S64" i="16"/>
  <c r="I120" i="16"/>
  <c r="I118" i="16" s="1"/>
  <c r="I66" i="16" s="1"/>
  <c r="Q50" i="16"/>
  <c r="Q48" i="16" s="1"/>
  <c r="M50" i="16"/>
  <c r="M48" i="16" s="1"/>
  <c r="G120" i="16"/>
  <c r="G118" i="16" s="1"/>
  <c r="G66" i="16" s="1"/>
  <c r="U105" i="16"/>
  <c r="M66" i="16"/>
  <c r="M64" i="16" s="1"/>
  <c r="K50" i="16"/>
  <c r="K47" i="16" s="1"/>
  <c r="K46" i="16" s="1"/>
  <c r="T66" i="16"/>
  <c r="T63" i="16" s="1"/>
  <c r="T62" i="16" s="1"/>
  <c r="T76" i="29"/>
  <c r="T75" i="29"/>
  <c r="H50" i="16"/>
  <c r="H105" i="16"/>
  <c r="H84" i="16" s="1"/>
  <c r="H66" i="16"/>
  <c r="R63" i="16"/>
  <c r="R62" i="16" s="1"/>
  <c r="K140" i="30"/>
  <c r="K85" i="16"/>
  <c r="K145" i="30"/>
  <c r="F75" i="29"/>
  <c r="F76" i="29"/>
  <c r="I76" i="29"/>
  <c r="I75" i="29"/>
  <c r="F120" i="16"/>
  <c r="F118" i="16" s="1"/>
  <c r="L75" i="29"/>
  <c r="L76" i="29"/>
  <c r="P50" i="16"/>
  <c r="P66" i="16"/>
  <c r="P105" i="16"/>
  <c r="P84" i="16" s="1"/>
  <c r="U73" i="29"/>
  <c r="M140" i="30"/>
  <c r="M85" i="16"/>
  <c r="M145" i="30"/>
  <c r="R140" i="30"/>
  <c r="R145" i="30"/>
  <c r="R85" i="16"/>
  <c r="L50" i="16"/>
  <c r="L105" i="16"/>
  <c r="L84" i="16" s="1"/>
  <c r="L66" i="16"/>
  <c r="N76" i="29"/>
  <c r="N75" i="29"/>
  <c r="Q64" i="16"/>
  <c r="Q63" i="16"/>
  <c r="Q62" i="16" s="1"/>
  <c r="I129" i="30"/>
  <c r="I132" i="30" s="1"/>
  <c r="U47" i="16"/>
  <c r="U46" i="16" s="1"/>
  <c r="U48" i="16"/>
  <c r="H75" i="29"/>
  <c r="H76" i="29"/>
  <c r="O50" i="16"/>
  <c r="O66" i="16"/>
  <c r="O105" i="16"/>
  <c r="O84" i="16" s="1"/>
  <c r="J50" i="16"/>
  <c r="J105" i="16"/>
  <c r="J84" i="16" s="1"/>
  <c r="J66" i="16"/>
  <c r="S84" i="16" l="1"/>
  <c r="S145" i="30" s="1"/>
  <c r="Q140" i="30"/>
  <c r="Q84" i="16"/>
  <c r="Q145" i="30" s="1"/>
  <c r="U84" i="16"/>
  <c r="U145" i="30" s="1"/>
  <c r="T84" i="16"/>
  <c r="T145" i="30" s="1"/>
  <c r="K63" i="16"/>
  <c r="K62" i="16" s="1"/>
  <c r="U63" i="16"/>
  <c r="U62" i="16" s="1"/>
  <c r="K64" i="16"/>
  <c r="U64" i="16"/>
  <c r="S48" i="16"/>
  <c r="G50" i="16"/>
  <c r="G48" i="16" s="1"/>
  <c r="T47" i="16"/>
  <c r="T46" i="16" s="1"/>
  <c r="I50" i="16"/>
  <c r="I47" i="16" s="1"/>
  <c r="I46" i="16" s="1"/>
  <c r="I105" i="16"/>
  <c r="S73" i="29"/>
  <c r="T140" i="30"/>
  <c r="N66" i="16"/>
  <c r="N64" i="16" s="1"/>
  <c r="N50" i="16"/>
  <c r="N47" i="16" s="1"/>
  <c r="N46" i="16" s="1"/>
  <c r="S140" i="30"/>
  <c r="R47" i="16"/>
  <c r="R46" i="16" s="1"/>
  <c r="Q85" i="16"/>
  <c r="M47" i="16"/>
  <c r="M46" i="16" s="1"/>
  <c r="G105" i="16"/>
  <c r="T64" i="16"/>
  <c r="Q47" i="16"/>
  <c r="Q46" i="16" s="1"/>
  <c r="U140" i="30"/>
  <c r="T85" i="16"/>
  <c r="S85" i="16"/>
  <c r="G129" i="30"/>
  <c r="G132" i="30" s="1"/>
  <c r="K48" i="16"/>
  <c r="M63" i="16"/>
  <c r="M62" i="16" s="1"/>
  <c r="U85" i="16"/>
  <c r="O73" i="29"/>
  <c r="P73" i="29"/>
  <c r="Q73" i="29"/>
  <c r="T73" i="29"/>
  <c r="R73" i="29"/>
  <c r="N73" i="29"/>
  <c r="M73" i="29"/>
  <c r="J73" i="29"/>
  <c r="K73" i="29"/>
  <c r="L73" i="29"/>
  <c r="G140" i="30"/>
  <c r="L85" i="16"/>
  <c r="L140" i="30"/>
  <c r="L145" i="30"/>
  <c r="P145" i="30"/>
  <c r="P140" i="30"/>
  <c r="P85" i="16"/>
  <c r="J63" i="16"/>
  <c r="J62" i="16" s="1"/>
  <c r="J64" i="16"/>
  <c r="O140" i="30"/>
  <c r="O145" i="30"/>
  <c r="O85" i="16"/>
  <c r="G47" i="16"/>
  <c r="G46" i="16" s="1"/>
  <c r="L47" i="16"/>
  <c r="L46" i="16" s="1"/>
  <c r="L48" i="16"/>
  <c r="F66" i="16"/>
  <c r="F50" i="16"/>
  <c r="F105" i="16"/>
  <c r="F73" i="29"/>
  <c r="O64" i="16"/>
  <c r="O63" i="16"/>
  <c r="O62" i="16" s="1"/>
  <c r="P48" i="16"/>
  <c r="H129" i="30"/>
  <c r="H132" i="30" s="1"/>
  <c r="P47" i="16"/>
  <c r="P46" i="16" s="1"/>
  <c r="I73" i="29"/>
  <c r="N85" i="16"/>
  <c r="N140" i="30"/>
  <c r="N145" i="30"/>
  <c r="H64" i="16"/>
  <c r="H63" i="16"/>
  <c r="H62" i="16" s="1"/>
  <c r="H48" i="16"/>
  <c r="H47" i="16"/>
  <c r="H46" i="16" s="1"/>
  <c r="I64" i="16"/>
  <c r="I63" i="16"/>
  <c r="I62" i="16" s="1"/>
  <c r="L129" i="30"/>
  <c r="L132" i="30" s="1"/>
  <c r="P64" i="16"/>
  <c r="P63" i="16"/>
  <c r="P62" i="16" s="1"/>
  <c r="J140" i="30"/>
  <c r="J85" i="16"/>
  <c r="J145" i="30"/>
  <c r="J48" i="16"/>
  <c r="J47" i="16"/>
  <c r="J46" i="16" s="1"/>
  <c r="O47" i="16"/>
  <c r="O46" i="16" s="1"/>
  <c r="O48" i="16"/>
  <c r="H73" i="29"/>
  <c r="G73" i="29"/>
  <c r="G63" i="16"/>
  <c r="G62" i="16" s="1"/>
  <c r="G64" i="16"/>
  <c r="L63" i="16"/>
  <c r="L62" i="16" s="1"/>
  <c r="L64" i="16"/>
  <c r="H85" i="16"/>
  <c r="H145" i="30"/>
  <c r="H140" i="30"/>
  <c r="G85" i="16" l="1"/>
  <c r="G84" i="16"/>
  <c r="G145" i="30" s="1"/>
  <c r="I84" i="16"/>
  <c r="I145" i="30" s="1"/>
  <c r="N48" i="16"/>
  <c r="I48" i="16"/>
  <c r="I85" i="16"/>
  <c r="N63" i="16"/>
  <c r="N62" i="16" s="1"/>
  <c r="I140" i="30"/>
  <c r="F140" i="30"/>
  <c r="F84" i="16"/>
  <c r="F145" i="30" s="1"/>
  <c r="F85" i="16"/>
  <c r="F47" i="16"/>
  <c r="F46" i="16" s="1"/>
  <c r="F48" i="16"/>
  <c r="F129" i="30"/>
  <c r="F132" i="30" s="1"/>
  <c r="F64" i="16"/>
  <c r="J129" i="30"/>
  <c r="J132" i="30" s="1"/>
  <c r="F63" i="16"/>
  <c r="F62" i="16" s="1"/>
  <c r="F153" i="30"/>
</calcChain>
</file>

<file path=xl/sharedStrings.xml><?xml version="1.0" encoding="utf-8"?>
<sst xmlns="http://schemas.openxmlformats.org/spreadsheetml/2006/main" count="754" uniqueCount="454">
  <si>
    <t>Base case</t>
  </si>
  <si>
    <t>Scenario</t>
  </si>
  <si>
    <t>Value</t>
  </si>
  <si>
    <t></t>
  </si>
  <si>
    <r>
      <t></t>
    </r>
    <r>
      <rPr>
        <sz val="14"/>
        <color theme="9"/>
        <rFont val="Wingdings"/>
        <charset val="2"/>
      </rPr>
      <t></t>
    </r>
  </si>
  <si>
    <t></t>
  </si>
  <si>
    <t>No</t>
  </si>
  <si>
    <t xml:space="preserve">    Hydrogen cost [EUR/ kg]</t>
  </si>
  <si>
    <t xml:space="preserve">       Bus availability [days]</t>
  </si>
  <si>
    <t xml:space="preserve">    Insurance premium [%]</t>
  </si>
  <si>
    <t></t>
  </si>
  <si>
    <t>x</t>
  </si>
  <si>
    <t xml:space="preserve">    Infrastructure purchasing costs [EUR]</t>
  </si>
  <si>
    <t>w</t>
  </si>
  <si>
    <t></t>
  </si>
  <si>
    <t></t>
  </si>
  <si>
    <t></t>
  </si>
  <si>
    <t xml:space="preserve">    Bus maintenance - conventional parts [EUR]</t>
  </si>
  <si>
    <t xml:space="preserve">    Bus maintenance - powertrain components [EUR]</t>
  </si>
  <si>
    <t xml:space="preserve">    Infrastructure maintenance costs [EUR]</t>
  </si>
  <si>
    <t xml:space="preserve">    Total FC replacement cost [EUR]</t>
  </si>
  <si>
    <t xml:space="preserve">    Taxes [EUR]</t>
  </si>
  <si>
    <t xml:space="preserve">          Operating license [EUR/ vehicle]</t>
  </si>
  <si>
    <t xml:space="preserve">          City tax [EUR/ vehicle]</t>
  </si>
  <si>
    <t xml:space="preserve">    SG&amp;A costs [EUR]</t>
  </si>
  <si>
    <t xml:space="preserve">          Individual SG&amp;A costs [EUR/ vehicle]</t>
  </si>
  <si>
    <t>Hydrogen production and refueling capacity</t>
  </si>
  <si>
    <t>kg/ day</t>
  </si>
  <si>
    <t>Yes</t>
  </si>
  <si>
    <t>Main assumptions</t>
  </si>
  <si>
    <t xml:space="preserve">    Total value of hydrogen FC buses fleet [EUR]</t>
  </si>
  <si>
    <t xml:space="preserve">         Infrastructure age (based on lifetime)</t>
  </si>
  <si>
    <t>Niche</t>
  </si>
  <si>
    <t xml:space="preserve">  Bus price evolution</t>
  </si>
  <si>
    <t xml:space="preserve">       Number of 18 m FC buses deployed each year</t>
  </si>
  <si>
    <t xml:space="preserve">    Number of buses purchased (12 m)</t>
  </si>
  <si>
    <t xml:space="preserve">    Number of buses purchased (18 m)</t>
  </si>
  <si>
    <t xml:space="preserve">    Bus depreciation costs [EUR]</t>
  </si>
  <si>
    <t xml:space="preserve">       Purchasing costs - 18 m bus [EUR/ vehicle] </t>
  </si>
  <si>
    <t xml:space="preserve">    Infrastructure depreciation costs [EUR]</t>
  </si>
  <si>
    <t xml:space="preserve">    Total bus purchasing costs [EUR]</t>
  </si>
  <si>
    <t xml:space="preserve">        Average fuel consumption - 12 m (OEM) [kg/ 100 km]</t>
  </si>
  <si>
    <t xml:space="preserve">        Average fuel consumption - 18 m (OEM) [kg/ 100 km]</t>
  </si>
  <si>
    <t xml:space="preserve">        Additional fuel needed - 12 m [kg/ 100 km]</t>
  </si>
  <si>
    <t xml:space="preserve">        Additional fuel needed - 18 m [kg/ 100 km]</t>
  </si>
  <si>
    <t xml:space="preserve">    Total fuel consumption [kg/ 100 km]</t>
  </si>
  <si>
    <r>
      <t xml:space="preserve">     </t>
    </r>
    <r>
      <rPr>
        <sz val="10"/>
        <color theme="1"/>
        <rFont val="Arial"/>
        <family val="2"/>
        <charset val="238"/>
      </rPr>
      <t>Fuel consumption 12 m [kg/ 100 km]</t>
    </r>
  </si>
  <si>
    <r>
      <t xml:space="preserve">     </t>
    </r>
    <r>
      <rPr>
        <sz val="10"/>
        <color theme="1"/>
        <rFont val="Arial"/>
        <family val="2"/>
        <charset val="238"/>
      </rPr>
      <t>Fuel consumption 18 m [kg/ 100 km]</t>
    </r>
  </si>
  <si>
    <t xml:space="preserve">         Number of buses (12 m) decommissioned (based on lifetime)</t>
  </si>
  <si>
    <t xml:space="preserve">         Number of buses (18 m) decommissioned (based on lifetime)</t>
  </si>
  <si>
    <t xml:space="preserve">         Total number of buses decommissioned (based on lifetime)</t>
  </si>
  <si>
    <t xml:space="preserve">         Total number of buses (12 m)</t>
  </si>
  <si>
    <t xml:space="preserve">         Total number of buses (18 m)</t>
  </si>
  <si>
    <t xml:space="preserve">         Total number of buses (all lenghts)</t>
  </si>
  <si>
    <t xml:space="preserve">  Maximum FC bus fleet in 2015 - 2030 interval</t>
  </si>
  <si>
    <t>ü</t>
  </si>
  <si>
    <t>Production</t>
  </si>
  <si>
    <t>Capacity</t>
  </si>
  <si>
    <t>Period</t>
  </si>
  <si>
    <t>Onsite</t>
  </si>
  <si>
    <t>Off site</t>
  </si>
  <si>
    <t>Index</t>
  </si>
  <si>
    <r>
      <t xml:space="preserve">       </t>
    </r>
    <r>
      <rPr>
        <sz val="10"/>
        <color theme="1"/>
        <rFont val="Arial"/>
        <family val="2"/>
        <charset val="238"/>
      </rPr>
      <t>Distance travelled by each bus [km/ bus]</t>
    </r>
  </si>
  <si>
    <t xml:space="preserve">    Total distance travelled [km]</t>
  </si>
  <si>
    <t xml:space="preserve">          Cost of maintenance for conventional parts - 12 m bus [EUR/ km]</t>
  </si>
  <si>
    <t xml:space="preserve">          Cost of maintenance for conventional parts - 18 m bus [EUR/ km]</t>
  </si>
  <si>
    <t xml:space="preserve">    Revenues from ticket selling [EUR]</t>
  </si>
  <si>
    <t xml:space="preserve">         Ticket price [EUR]</t>
  </si>
  <si>
    <t xml:space="preserve">    Revenues from subsidies [EUR]</t>
  </si>
  <si>
    <t xml:space="preserve">         Average subsidy per passenger [EUR]</t>
  </si>
  <si>
    <t xml:space="preserve">         Number of passengers transported [#]</t>
  </si>
  <si>
    <t xml:space="preserve">    Revenues from regulatory incentives [EUR]</t>
  </si>
  <si>
    <t xml:space="preserve">         Average incentive per acquired bus [EUR]</t>
  </si>
  <si>
    <t></t>
  </si>
  <si>
    <t xml:space="preserve">    Bus purchasing financing costs [EUR]</t>
  </si>
  <si>
    <t xml:space="preserve">    Infrastructure purchasing financing costs [EUR]</t>
  </si>
  <si>
    <t xml:space="preserve">        Industrial hydrogen cost [EUR/ kg] </t>
  </si>
  <si>
    <t xml:space="preserve">       "Green" hydrogen cost [EUR/ kg] </t>
  </si>
  <si>
    <t xml:space="preserve">         Share of industrial hydrogen [%]</t>
  </si>
  <si>
    <t xml:space="preserve">         Share of "Green" hydrogen [%]</t>
  </si>
  <si>
    <t>12 m bus Total Cost of Ownership [EUR/ km]</t>
  </si>
  <si>
    <t>18 m bus Total Cost of Ownership [EUR/ km]</t>
  </si>
  <si>
    <t xml:space="preserve">     Depreciation costs [EUR/ bus]</t>
  </si>
  <si>
    <t xml:space="preserve">     Fuel costs [EUR/ bus]</t>
  </si>
  <si>
    <t xml:space="preserve">     Maintenance costs - Total [EUR/ bus] </t>
  </si>
  <si>
    <t xml:space="preserve">          Maintenance costs - conventional components [EUR/ bus] </t>
  </si>
  <si>
    <t xml:space="preserve">          Maintenance costs - FC replacement [EUR/ bus]   </t>
  </si>
  <si>
    <t xml:space="preserve">     Insurance costs [EUR/ bus] </t>
  </si>
  <si>
    <t xml:space="preserve">     Downtime costs [EUR/ bus] </t>
  </si>
  <si>
    <t xml:space="preserve">     Financing costs [EUR/ bus] </t>
  </si>
  <si>
    <t xml:space="preserve">     Other costs [EUR/ bus] </t>
  </si>
  <si>
    <t>Infrastructure costs [EUR/ bus]</t>
  </si>
  <si>
    <t xml:space="preserve">     Depreciation costs [EUR]</t>
  </si>
  <si>
    <t>Technical yearly costs/ bus (including maintenance)</t>
  </si>
  <si>
    <t xml:space="preserve">       Number of 12 m FC buses deployed each year</t>
  </si>
  <si>
    <t xml:space="preserve">  Bus deployment schedule &amp; fuel consumption</t>
  </si>
  <si>
    <t xml:space="preserve">            Hydrogen consumption 12 m FC bus [kg/ 100 km]</t>
  </si>
  <si>
    <t xml:space="preserve">       Current fuel consumption of diesel 12 m buses [liters/ 100 km]</t>
  </si>
  <si>
    <t xml:space="preserve">       Current fuel consumption of diesel 18 m buses [liters/ 100 km]</t>
  </si>
  <si>
    <t xml:space="preserve">            Hydrogen consumption 18 m FC bus [kg/ 100 km]</t>
  </si>
  <si>
    <t xml:space="preserve">            Diesel consumption 12 m FC bus [liters/ 100 km]</t>
  </si>
  <si>
    <t xml:space="preserve">            Diesel consumption 18 m FC bus [liters/ 100 km]</t>
  </si>
  <si>
    <t xml:space="preserve">       CO2 emissions - Conventional H2 (WTT cycle) [kg CO2/ kg hydrogen]</t>
  </si>
  <si>
    <t xml:space="preserve">       CO2 emissions - diesel buses (TTW cycle) [kg/ liter Diesel]</t>
  </si>
  <si>
    <t xml:space="preserve">       CO2 emissions - diesel buses (WTT cycle) [kg/ liter Diesel]</t>
  </si>
  <si>
    <t xml:space="preserve">       Total CO2 reduction [kg]</t>
  </si>
  <si>
    <t xml:space="preserve">       Total cost benefits from CO2 reduction [EUR]</t>
  </si>
  <si>
    <t xml:space="preserve">       Purchasing costs - 12 m bus [EUR/ vehicle] </t>
  </si>
  <si>
    <t xml:space="preserve">  18 m articulated bus [EUR/ bus]</t>
  </si>
  <si>
    <t>Scale 
- realistic</t>
  </si>
  <si>
    <t>Scale 
- optimistic</t>
  </si>
  <si>
    <t xml:space="preserve">       Scenario based level of RES hydrogen</t>
  </si>
  <si>
    <t xml:space="preserve">       CO2 emissions - RES hydrogen (WTT cycle) [kg CO2/ kg hydrogen]</t>
  </si>
  <si>
    <t>Upside</t>
  </si>
  <si>
    <t>Downside</t>
  </si>
  <si>
    <t>Category</t>
  </si>
  <si>
    <t>SORT 2</t>
  </si>
  <si>
    <t xml:space="preserve">  Fuel consumption ratings</t>
  </si>
  <si>
    <t xml:space="preserve">    Average hydrogen consumption evolution 12 m FC bus [kg/ 100 km]</t>
  </si>
  <si>
    <t>Cycle</t>
  </si>
  <si>
    <t xml:space="preserve">SORT 1 </t>
  </si>
  <si>
    <t xml:space="preserve">    Average hydrogen consumption evolution 18 m FC bus [kg/ 100 km]</t>
  </si>
  <si>
    <t xml:space="preserve">       Percentage of operating time in SORT 2 cycle [%]</t>
  </si>
  <si>
    <t xml:space="preserve">       Percentage of operating time in SORT 1 cycle [%]</t>
  </si>
  <si>
    <t xml:space="preserve">     Maintenance cost for conventional parts [EUR/ km]</t>
  </si>
  <si>
    <t xml:space="preserve">     Maintenance cost for fuel cell module (excluding stack replacement) [EUR km]</t>
  </si>
  <si>
    <t xml:space="preserve">     Replacement of fuel cell stack [EUR/ km]</t>
  </si>
  <si>
    <t xml:space="preserve">     Maintenance cost for other powertrain components [EUR/ km]</t>
  </si>
  <si>
    <t xml:space="preserve">  12 m standard bus [EUR/ bus]</t>
  </si>
  <si>
    <t xml:space="preserve">              Cost of maintenance for fuel cells - 12 m bus [EUR/ km]</t>
  </si>
  <si>
    <t xml:space="preserve">              Cost of maintenance for fuel cells - 18 m bus [EUR/ km]</t>
  </si>
  <si>
    <t xml:space="preserve">              Cost of maintenance other components - 12 m bus [EUR/ km]</t>
  </si>
  <si>
    <t xml:space="preserve">              Cost of maintenance other components - 18 m bus [EUR/ km]</t>
  </si>
  <si>
    <t xml:space="preserve">          Total maintenance cost for powertrain components - 18 m bus [EUR]</t>
  </si>
  <si>
    <t xml:space="preserve">          Total maintenance cost for powertrain components - 12 m bus [EUR]</t>
  </si>
  <si>
    <t xml:space="preserve">       FC stack replacement cost - 12 m bus [EUR/ km]</t>
  </si>
  <si>
    <t xml:space="preserve">       FC stack replacement cost - 18 m bus [EUR/ km]</t>
  </si>
  <si>
    <t xml:space="preserve">          Maintenance costs - FC components [EUR/ bus] </t>
  </si>
  <si>
    <t xml:space="preserve">          Maintenance costs - other powetrain components [EUR/ bus] </t>
  </si>
  <si>
    <t>Expected average availability across fleet*</t>
  </si>
  <si>
    <t xml:space="preserve">  Availability and maintenance evolution</t>
  </si>
  <si>
    <t xml:space="preserve">   Expected average availability across fleet* [%]</t>
  </si>
  <si>
    <t xml:space="preserve">   Expected planned maintenance [days/ year]</t>
  </si>
  <si>
    <t xml:space="preserve">              Average availability rating [%]</t>
  </si>
  <si>
    <t xml:space="preserve">              Planned maintenance [days] </t>
  </si>
  <si>
    <t xml:space="preserve">    Individual labor costs [EUR/ vehicle]</t>
  </si>
  <si>
    <t></t>
  </si>
  <si>
    <t>12 m bus costs [EUR/ bus] - all associated costs</t>
  </si>
  <si>
    <t>12 m bus costs [EUR/ bus] - excluding downtime, insurance &amp; other costs</t>
  </si>
  <si>
    <t>18 m bus costs [EUR/ vehicle] - excluding downtime, insurance &amp; other costs</t>
  </si>
  <si>
    <t>18 m bus costs [EUR/ vehicle] - all associated costs</t>
  </si>
  <si>
    <t xml:space="preserve">  Feedstock prices</t>
  </si>
  <si>
    <t>Best case</t>
  </si>
  <si>
    <t xml:space="preserve">     Total maintenance cost [EUR/ km]</t>
  </si>
  <si>
    <t xml:space="preserve">  Hydrogen production costs [EUR/ kg]</t>
  </si>
  <si>
    <t xml:space="preserve">  Hydrogen distribution costs [EUR/ kg]</t>
  </si>
  <si>
    <t xml:space="preserve">       Total additional fuel costs [EUR]</t>
  </si>
  <si>
    <t xml:space="preserve">            CO2 reduction per 12 m bus [kg/ year]</t>
  </si>
  <si>
    <t xml:space="preserve">            CO2 reduction per 18 m bus [kg/ year]</t>
  </si>
  <si>
    <t xml:space="preserve">       CO2 cost in road transport [EUR/ kg]</t>
  </si>
  <si>
    <t xml:space="preserve">            Additional fuel costs 12 m bus [EUR/ year]</t>
  </si>
  <si>
    <t xml:space="preserve">            Additional fuel costs 18 m bus [EUR/ year]</t>
  </si>
  <si>
    <t xml:space="preserve">       Premium paid for electricity from RES [EUR/ MWh]</t>
  </si>
  <si>
    <t xml:space="preserve">            Additional fuel costs per kg [EUR/ kg]</t>
  </si>
  <si>
    <t xml:space="preserve">       Energy content of 1 liter of Diesel fuel [kWh]</t>
  </si>
  <si>
    <t xml:space="preserve">       NOx emission price accoding to Clean Fuel Directive [EUR/ g]</t>
  </si>
  <si>
    <t xml:space="preserve">       PM emission price accoding to Clean Fuel Directive [EUR/ g]</t>
  </si>
  <si>
    <t>Total CO2 emission of 1 hydrogen kg</t>
  </si>
  <si>
    <t>Total emission penalties for 
1 liter of Diesel fuel</t>
  </si>
  <si>
    <t xml:space="preserve">            Emission reduction per 12 m bus [EUR/ year]</t>
  </si>
  <si>
    <t xml:space="preserve">            Emission reduction per 18 m bus [EUR/ year]</t>
  </si>
  <si>
    <t></t>
  </si>
  <si>
    <t xml:space="preserve">         Potential tickets sold yearly per 12 m bus [#]</t>
  </si>
  <si>
    <t xml:space="preserve">         Potential tickets sold yearly per 18 m bus [#]</t>
  </si>
  <si>
    <r>
      <rPr>
        <sz val="10"/>
        <color rgb="FFFF0000"/>
        <rFont val="Arial"/>
        <family val="2"/>
        <charset val="238"/>
      </rPr>
      <t>*</t>
    </r>
    <r>
      <rPr>
        <sz val="10"/>
        <rFont val="Arial"/>
        <family val="2"/>
        <charset val="238"/>
      </rPr>
      <t xml:space="preserve"> Assumptions not currently set due to potential high variations</t>
    </r>
  </si>
  <si>
    <t xml:space="preserve">       Total cost benefits from emission reduction [EUR]</t>
  </si>
  <si>
    <t xml:space="preserve">       NOx emission from 1 liter of Diesel fuel - EURO VI norms [g]</t>
  </si>
  <si>
    <t xml:space="preserve">       NMHC emission from 1 liter of Diesel fuel - EURO VI norms [g]</t>
  </si>
  <si>
    <t xml:space="preserve">       PM emission from 1 liter of Diesel fuel - EURO VI norms [g]</t>
  </si>
  <si>
    <t xml:space="preserve">    Total cleaning and servicing [EUR]</t>
  </si>
  <si>
    <t xml:space="preserve">       Cleaning and servicing - 12 m bus [EUR/ vehicle]</t>
  </si>
  <si>
    <t xml:space="preserve">       Cleaning and servicing - 18 m bus [EUR/ vehicle]</t>
  </si>
  <si>
    <t xml:space="preserve">          Cleaning and servicing [EUR/ bus]   </t>
  </si>
  <si>
    <t xml:space="preserve">  Hydrogen price [EUR/ kg]</t>
  </si>
  <si>
    <t xml:space="preserve">  Computed electricity prices [EUR/ MWh]</t>
  </si>
  <si>
    <t xml:space="preserve">  Computed gas prices [EUR/ MWh]</t>
  </si>
  <si>
    <t xml:space="preserve"> Hydrogen costs within the implementation period </t>
  </si>
  <si>
    <t xml:space="preserve">       Expected evolution of Diesel fuel efficiency until 2030</t>
  </si>
  <si>
    <t xml:space="preserve">  Conventional hydrogen production costs [EUR/ kg]</t>
  </si>
  <si>
    <t>Conventional Diesel 12 m bus Total Cost of Ownership [EUR/ km]</t>
  </si>
  <si>
    <t>Conventional Diesel 12 m bus costs [EUR/ bus]</t>
  </si>
  <si>
    <t xml:space="preserve">          Purchasing price [EUR/ bus] </t>
  </si>
  <si>
    <t xml:space="preserve">          Price of 1 liter of Diesel [EUR/ liter] </t>
  </si>
  <si>
    <t xml:space="preserve">     Maintenance costs [EUR/ bus] </t>
  </si>
  <si>
    <t>Conventional Diesel 18 m bus Total Cost of Ownership [EUR/ km]</t>
  </si>
  <si>
    <t>Conventional Diesel 18 m bus costs [EUR/ bus]</t>
  </si>
  <si>
    <t xml:space="preserve">          Cleaning and servicing [EUR/ bus] </t>
  </si>
  <si>
    <t xml:space="preserve">     Maintenance and operating costs [EUR]</t>
  </si>
  <si>
    <t xml:space="preserve">     Financing costs [EUR] </t>
  </si>
  <si>
    <t xml:space="preserve">       NNHC emission price accoding to Clean Fuel Directive [EUR/ g]</t>
  </si>
  <si>
    <t xml:space="preserve">       Evolution of premium paid for electricity from RES [%]</t>
  </si>
  <si>
    <t xml:space="preserve">    Other revenues (e.g. grants) [EUR]</t>
  </si>
  <si>
    <t>18 m articulated FC bus</t>
  </si>
  <si>
    <t>12 - 13.5 m standard FC bus</t>
  </si>
  <si>
    <t>12 - 13.5 m standard Diesel bus</t>
  </si>
  <si>
    <t>g/ KWh</t>
  </si>
  <si>
    <t>Unit</t>
  </si>
  <si>
    <t xml:space="preserve">       CO2 reduction from improved energy mix [%]</t>
  </si>
  <si>
    <t xml:space="preserve">       CO2 produced by electricity generation in 2015 [g/ kWh]</t>
  </si>
  <si>
    <t xml:space="preserve">       Electricity consumption for hydrogen production</t>
  </si>
  <si>
    <t>kWh</t>
  </si>
  <si>
    <t>kg</t>
  </si>
  <si>
    <t xml:space="preserve">       Emissions for each kg of H2 produced from grid electricity</t>
  </si>
  <si>
    <t xml:space="preserve">kg/ 100 km] </t>
  </si>
  <si>
    <t xml:space="preserve">       Emissions for each kg of H2 produced from 30% RES &amp; 70% grid</t>
  </si>
  <si>
    <t xml:space="preserve">       Total emissions per 100 km traveled - 100% grid</t>
  </si>
  <si>
    <t xml:space="preserve">       Total emissions per 100 km traveled - 30% RES &amp; 70% grid</t>
  </si>
  <si>
    <t xml:space="preserve">       Emissions for each kg of H2 produced from 50% RES &amp; 50% grid</t>
  </si>
  <si>
    <t xml:space="preserve">       Total emissions per 100 km traveled - 50% RES &amp; 50% grid</t>
  </si>
  <si>
    <t xml:space="preserve">       Emissions for each kg of H2 produced from 70% RES &amp; 30% grid</t>
  </si>
  <si>
    <t xml:space="preserve">       Total emissions per 100 km traveled - 70% RES &amp; 30% grid</t>
  </si>
  <si>
    <t xml:space="preserve">       Total emissions per 100 km traveled - NG steam reforming</t>
  </si>
  <si>
    <t xml:space="preserve">       Emissions for each kg of H2 produced through NG steam reforming</t>
  </si>
  <si>
    <t xml:space="preserve">       Emissions for each liter of diesel</t>
  </si>
  <si>
    <t xml:space="preserve">       Total emissions per 100 km traveled - diesel</t>
  </si>
  <si>
    <t xml:space="preserve">       Step 1 of RES usage</t>
  </si>
  <si>
    <t xml:space="preserve">       Step 2 of RES usage</t>
  </si>
  <si>
    <t xml:space="preserve">       Step 3 of RES usage</t>
  </si>
  <si>
    <t xml:space="preserve">    Workshop depreciation costs [EUR]</t>
  </si>
  <si>
    <t xml:space="preserve">    Workshop adaptation costs [EUR]</t>
  </si>
  <si>
    <t xml:space="preserve">    Workshop adaptation financing costs [EUR]</t>
  </si>
  <si>
    <t xml:space="preserve">     Financing costs - including workshop adaptation [EUR]</t>
  </si>
  <si>
    <t xml:space="preserve">     Workshop depreciation costs [EUR]</t>
  </si>
  <si>
    <t>18 m articulated Diesel bus</t>
  </si>
  <si>
    <t xml:space="preserve">       Emissions for produced electricity country specific</t>
  </si>
  <si>
    <t xml:space="preserve">  Total number of FC buses deployed each year</t>
  </si>
  <si>
    <t xml:space="preserve">  Number of 18 m FC buses deployed each year</t>
  </si>
  <si>
    <t xml:space="preserve">  Number of 12 - 13.5 m FC buses deployed each year</t>
  </si>
  <si>
    <t xml:space="preserve">  Maintenance and operating costs [EUR/ year]</t>
  </si>
  <si>
    <t xml:space="preserve">  Investment required (CAPEX) [EUR]</t>
  </si>
  <si>
    <r>
      <t xml:space="preserve">  Space required [sq meters] </t>
    </r>
    <r>
      <rPr>
        <sz val="11"/>
        <rFont val="Arial"/>
        <family val="2"/>
        <charset val="238"/>
      </rPr>
      <t>(including production 
  facilities if on-site option is selected)</t>
    </r>
  </si>
  <si>
    <t xml:space="preserve">  Hydrogen distribution costs [EUR/ kg] </t>
  </si>
  <si>
    <t xml:space="preserve">  Hydrogen infrastructure costs and space requirements</t>
  </si>
  <si>
    <t xml:space="preserve">  Please select the overall technology development scenario </t>
  </si>
  <si>
    <t xml:space="preserve">  Please select the sensitivity scenario for the feedstock prices</t>
  </si>
  <si>
    <t xml:space="preserve">  Bus expected lifetime [# years]</t>
  </si>
  <si>
    <t xml:space="preserve">  Infrastructure expected lifetime [# years]</t>
  </si>
  <si>
    <t xml:space="preserve">  Assumptions used for depreciation costs</t>
  </si>
  <si>
    <t xml:space="preserve">  Daily distance traveled [km]</t>
  </si>
  <si>
    <t xml:space="preserve">  Percentage of operating time in SORT 1 cycle [%]</t>
  </si>
  <si>
    <t xml:space="preserve">  Percentage of operating time in SORT 2 cycle [%]</t>
  </si>
  <si>
    <t xml:space="preserve">  Share of hydrogen from RES [%]</t>
  </si>
  <si>
    <t xml:space="preserve">  Conventional electricity price in 2015 [EUR/ MWh]</t>
  </si>
  <si>
    <t xml:space="preserve">  Natural gas price in 2015 [EUR/ MWh]</t>
  </si>
  <si>
    <t xml:space="preserve">  Premium paid for electricity from RES [EUR/ MWh]</t>
  </si>
  <si>
    <t xml:space="preserve">  Daily time on route [hours]</t>
  </si>
  <si>
    <t xml:space="preserve">  Additional fuel needed due to specific city characteristics [%]</t>
  </si>
  <si>
    <t xml:space="preserve">  Assumptions used for insurance costs</t>
  </si>
  <si>
    <t xml:space="preserve">  Weighted Average Cost of Capital (WACC) [%]</t>
  </si>
  <si>
    <t xml:space="preserve">  Assumptions used for other costs</t>
  </si>
  <si>
    <t xml:space="preserve">  Assumptions used for revenues</t>
  </si>
  <si>
    <t xml:space="preserve">  Workshop adaptation costs [EUR]</t>
  </si>
  <si>
    <t xml:space="preserve">  Insurance premium [%]</t>
  </si>
  <si>
    <t xml:space="preserve">  City tax [EUR/ vehicle]</t>
  </si>
  <si>
    <t xml:space="preserve">  Individual SG&amp;A costs [EUR/ vehicle]</t>
  </si>
  <si>
    <t xml:space="preserve">  Annual distance traveled [km]</t>
  </si>
  <si>
    <t xml:space="preserve">  Diesel infrastructure purchasing price [EUR]</t>
  </si>
  <si>
    <t xml:space="preserve">  Number of planned maintenance days [#]</t>
  </si>
  <si>
    <t>Depreciation costs</t>
  </si>
  <si>
    <t>Fuel costs</t>
  </si>
  <si>
    <t>Labour costs</t>
  </si>
  <si>
    <t>Financing costs</t>
  </si>
  <si>
    <t>Downtime costs</t>
  </si>
  <si>
    <t>Insurance costs</t>
  </si>
  <si>
    <t>Other costs</t>
  </si>
  <si>
    <t>Maintenance costs</t>
  </si>
  <si>
    <t>Other</t>
  </si>
  <si>
    <t xml:space="preserve"> Depreciation costs [EUR]</t>
  </si>
  <si>
    <t xml:space="preserve"> Total yearly costs</t>
  </si>
  <si>
    <t xml:space="preserve"> Fuel costs [EUR]</t>
  </si>
  <si>
    <t xml:space="preserve"> Maintenance costs [EUR]</t>
  </si>
  <si>
    <t xml:space="preserve"> Labor costs [EUR]</t>
  </si>
  <si>
    <t xml:space="preserve"> Financing costs [EUR]</t>
  </si>
  <si>
    <t xml:space="preserve"> Downtime costs [EUR]</t>
  </si>
  <si>
    <t xml:space="preserve"> Insurance costs [EUR]</t>
  </si>
  <si>
    <r>
      <t xml:space="preserve"> Other costs [EUR]</t>
    </r>
    <r>
      <rPr>
        <b/>
        <sz val="10"/>
        <color rgb="FFFF0000"/>
        <rFont val="Arial"/>
        <family val="2"/>
        <charset val="238"/>
      </rPr>
      <t xml:space="preserve"> *</t>
    </r>
  </si>
  <si>
    <r>
      <t xml:space="preserve"> Total revenues [EUR] </t>
    </r>
    <r>
      <rPr>
        <b/>
        <sz val="10"/>
        <color rgb="FFFF0000"/>
        <rFont val="Arial"/>
        <family val="2"/>
        <charset val="238"/>
      </rPr>
      <t>**</t>
    </r>
  </si>
  <si>
    <t xml:space="preserve"> Other costs [EUR/ km]</t>
  </si>
  <si>
    <t xml:space="preserve"> Insurance costs [EUR/ km]</t>
  </si>
  <si>
    <t xml:space="preserve"> Downtime costs [EUR/ km]</t>
  </si>
  <si>
    <t xml:space="preserve"> Financing costs [EUR/ km]</t>
  </si>
  <si>
    <t xml:space="preserve"> Infrastructure depreciation &amp; maintenance [EUR/ km]</t>
  </si>
  <si>
    <t xml:space="preserve"> Fuel costs [EUR/ km]</t>
  </si>
  <si>
    <t xml:space="preserve"> Bus maintenance costs [EUR/ km]</t>
  </si>
  <si>
    <t xml:space="preserve"> Bus depreciation costs [EUR/ km]</t>
  </si>
  <si>
    <t xml:space="preserve">  Total CO2 reduction until 2030 [tones]</t>
  </si>
  <si>
    <t xml:space="preserve">  Total cost benefits from CO2 reduction until 2030 [EUR]</t>
  </si>
  <si>
    <t xml:space="preserve">  Total cost benefits from emission reduction until 2030 [EUR]</t>
  </si>
  <si>
    <t xml:space="preserve">  Current fuel consumption of diesel 18 m buses [liters/ 100 km]</t>
  </si>
  <si>
    <t xml:space="preserve">   Evolution of CO2 emissions from different sources</t>
  </si>
  <si>
    <t xml:space="preserve">  Total additional fuel costs due to RES usage [EUR]</t>
  </si>
  <si>
    <t xml:space="preserve"> Other costs [EUR]</t>
  </si>
  <si>
    <t>Germany</t>
  </si>
  <si>
    <t>United Kingdom</t>
  </si>
  <si>
    <t>France</t>
  </si>
  <si>
    <t>Norway</t>
  </si>
  <si>
    <t>Italy</t>
  </si>
  <si>
    <t>Netherlands</t>
  </si>
  <si>
    <t>Latvia</t>
  </si>
  <si>
    <t>Please input value</t>
  </si>
  <si>
    <t xml:space="preserve">  ASSUMPTIONS</t>
  </si>
  <si>
    <t xml:space="preserve">  CO2 footprint of grid electricity generated in 2015 [g/ kWh]</t>
  </si>
  <si>
    <t xml:space="preserve"> FC buses envisaged for deployment</t>
  </si>
  <si>
    <t xml:space="preserve">  Following cost components have been considered in the TCO 
  calculation by default</t>
  </si>
  <si>
    <t xml:space="preserve">  Assumptions used for Diesel buses - infrastructure related</t>
  </si>
  <si>
    <t xml:space="preserve"> Total yearly revenues of FC bus fleet [EUR]</t>
  </si>
  <si>
    <t xml:space="preserve"> Total yearly costs of FC bus fleet [EUR]</t>
  </si>
  <si>
    <r>
      <rPr>
        <sz val="10"/>
        <color rgb="FFFF0000"/>
        <rFont val="Arial"/>
        <family val="2"/>
        <charset val="238"/>
      </rPr>
      <t>**</t>
    </r>
    <r>
      <rPr>
        <sz val="10"/>
        <rFont val="Arial"/>
        <family val="2"/>
        <charset val="238"/>
      </rPr>
      <t xml:space="preserve"> Computed based on revenue assumptions</t>
    </r>
  </si>
  <si>
    <t xml:space="preserve">  Availability considered (theoretical value) [%] </t>
  </si>
  <si>
    <t xml:space="preserve">  Yearly maintenance and operating costs [EUR]</t>
  </si>
  <si>
    <t>Investment required (CAPEX) [EUR]</t>
  </si>
  <si>
    <t>Space required [sq m]</t>
  </si>
  <si>
    <t xml:space="preserve">  Natural gas (high consumption bandwidth)</t>
  </si>
  <si>
    <t xml:space="preserve">  Electricity (high consumption bandwidth)</t>
  </si>
  <si>
    <t>Spreadsheets</t>
  </si>
  <si>
    <t>Link</t>
  </si>
  <si>
    <t xml:space="preserve">    Detailed cost analysis</t>
  </si>
  <si>
    <t xml:space="preserve">    Price evolution</t>
  </si>
  <si>
    <t xml:space="preserve">    Infrastructure options</t>
  </si>
  <si>
    <t>C</t>
  </si>
  <si>
    <t xml:space="preserve">    Environmental analysis</t>
  </si>
  <si>
    <t>1. Overall purpose of the cost analysis tool</t>
  </si>
  <si>
    <t>TOTAL</t>
  </si>
  <si>
    <t xml:space="preserve">  Average trip duration [hours]</t>
  </si>
  <si>
    <t xml:space="preserve">  Current fuel consumption of diesel 12 - 13.5 m buses [liters/ 100 km]</t>
  </si>
  <si>
    <r>
      <rPr>
        <b/>
        <sz val="16"/>
        <color rgb="FF002060"/>
        <rFont val="Arial"/>
        <family val="2"/>
        <charset val="238"/>
      </rPr>
      <t xml:space="preserve">A. </t>
    </r>
    <r>
      <rPr>
        <b/>
        <sz val="14"/>
        <color theme="4"/>
        <rFont val="Arial"/>
        <family val="2"/>
        <charset val="238"/>
      </rPr>
      <t>PLEASE INSERT OVERARCHING ASSUMPTIONS AND OPTIONS</t>
    </r>
  </si>
  <si>
    <r>
      <rPr>
        <b/>
        <sz val="16"/>
        <color rgb="FF002060"/>
        <rFont val="Arial"/>
        <family val="2"/>
        <charset val="238"/>
      </rPr>
      <t xml:space="preserve">E. </t>
    </r>
    <r>
      <rPr>
        <b/>
        <sz val="14"/>
        <color theme="4"/>
        <rFont val="Arial"/>
        <family val="2"/>
        <charset val="238"/>
      </rPr>
      <t xml:space="preserve">PLEASE INSERT ASSUMPTIONS USED FOR COMPILING DIESEL BUS TCO </t>
    </r>
    <r>
      <rPr>
        <sz val="14"/>
        <color theme="4"/>
        <rFont val="Arial"/>
        <family val="2"/>
        <charset val="238"/>
      </rPr>
      <t>(for increased comparability with FC buses)</t>
    </r>
  </si>
  <si>
    <r>
      <rPr>
        <b/>
        <sz val="16"/>
        <color rgb="FF002060"/>
        <rFont val="Arial"/>
        <family val="2"/>
        <charset val="238"/>
      </rPr>
      <t xml:space="preserve">G. </t>
    </r>
    <r>
      <rPr>
        <b/>
        <sz val="14"/>
        <color theme="4"/>
        <rFont val="Arial"/>
        <family val="2"/>
        <charset val="238"/>
      </rPr>
      <t>PLEASE INSERT ASSUMPTIONS USED FOR COMPILING REVENUES (OPTIONAL)</t>
    </r>
  </si>
  <si>
    <t xml:space="preserve">    Necessity for conventional buses [km]</t>
  </si>
  <si>
    <t xml:space="preserve">    TCO of conventional Diesel 12 m bus - without labour costs [EUR/ km]</t>
  </si>
  <si>
    <t xml:space="preserve">    TCO of conventional Diesel 18 m bus - without labour costs [EUR/ km]</t>
  </si>
  <si>
    <t xml:space="preserve">    Number of replacement 12 m buses [#]</t>
  </si>
  <si>
    <t xml:space="preserve">    Number of replacement 18 m buses [#]</t>
  </si>
  <si>
    <t xml:space="preserve">    Downtime labour costs 12 m bus [EUR/ vehicle]</t>
  </si>
  <si>
    <t xml:space="preserve">    Downtime labour costs 18 m bus [EUR/ vehicle]</t>
  </si>
  <si>
    <t xml:space="preserve">  Country of operation</t>
  </si>
  <si>
    <t xml:space="preserve">  Purchasing price for 12 - 13.5 m FC bus in 2015 [EUR]</t>
  </si>
  <si>
    <t xml:space="preserve">  Purchasing price for 18 m FC bus in 2015 [EUR]</t>
  </si>
  <si>
    <t xml:space="preserve">  Maintenance cost for conventional parts in 2015 [EUR/ km]</t>
  </si>
  <si>
    <t xml:space="preserve">  Maintenance cost for FC module (excl. stack replacement) in 2015 [EUR km]</t>
  </si>
  <si>
    <t xml:space="preserve">  Replacement of fuel cell stack in 2015 [EUR/ km]</t>
  </si>
  <si>
    <t xml:space="preserve">  Maintenance cost for other powertrain components in 2015 [EUR/ km]</t>
  </si>
  <si>
    <t xml:space="preserve">  Labour costs (including replacement bus for downtime) in 2015 [EUR/ vehicle]</t>
  </si>
  <si>
    <t xml:space="preserve">  Cleaning and servicing costs for 12 - 13.5 m bus in 2015 [EUR/ vehicle]</t>
  </si>
  <si>
    <t xml:space="preserve">  Cleaning and servicing costs for 18 m bus in 2015 [EUR/ vehicle]</t>
  </si>
  <si>
    <t xml:space="preserve">  Assumptions used for diesel buses - bus related</t>
  </si>
  <si>
    <t xml:space="preserve">  Purchasing price of conventional 12 - 13.5 m diesel bus in 2015 [EUR/ vehicle]</t>
  </si>
  <si>
    <t xml:space="preserve">  Purchasing price of conventional 18 m diesel bus in 2015 [EUR/ vehicle]</t>
  </si>
  <si>
    <t xml:space="preserve">  Price of 1 liter of diesel in 2015 [EUR/ liter]</t>
  </si>
  <si>
    <t xml:space="preserve">  Maintenance costs 12 - 13.5 m diesel bus in 2015 [EUR/ km]</t>
  </si>
  <si>
    <t xml:space="preserve">  Maintenance costs 18 m diesel bus in 2015 [EUR/ km]</t>
  </si>
  <si>
    <t xml:space="preserve">  Number of diesel buses considered for the infrastructure [#] </t>
  </si>
  <si>
    <t xml:space="preserve">  Annual expected evolution of conventional electricity price until 2030 (base case) [%]</t>
  </si>
  <si>
    <t xml:space="preserve">  Annual expected evolution of natural gas price until 2030 (base case) [%]</t>
  </si>
  <si>
    <t xml:space="preserve">  Annual expected evolution of premium paid for electricity from RES [EUR/ MWh]</t>
  </si>
  <si>
    <t xml:space="preserve">  Annual expected evolution of labour costs until 2030 [%]</t>
  </si>
  <si>
    <t xml:space="preserve">  Annual expected evolution of cleaning and servicing costs until 2030 [%]</t>
  </si>
  <si>
    <t xml:space="preserve">  Annual expected evolution of conventional diesel 12 - 13.5 m bus price until 2030 [%]</t>
  </si>
  <si>
    <t xml:space="preserve">  Annual expected evolution of conventional diesel 18 m bus price until 2030 [%]</t>
  </si>
  <si>
    <t xml:space="preserve">  Annual expected evolution of diesel fuel efficiency until 2030</t>
  </si>
  <si>
    <t xml:space="preserve">  Annual expected evolution of maintenance costs until 2030 [%]</t>
  </si>
  <si>
    <t xml:space="preserve">  Annual expected evolution of maintenance and operating costs [%]</t>
  </si>
  <si>
    <t xml:space="preserve">  Annual expected CO2 reduction from improved energy mix until 2030 [%]</t>
  </si>
  <si>
    <t xml:space="preserve">  Average ticket price, including subscriptions in 2015 [EUR]</t>
  </si>
  <si>
    <t xml:space="preserve">  Annual expected evolution of ticket prices until 2030 [%]</t>
  </si>
  <si>
    <t xml:space="preserve">  Annual expected passenger traffic increase [%]</t>
  </si>
  <si>
    <t xml:space="preserve">  Average subsidy/ passenger in 2015 [EUR]</t>
  </si>
  <si>
    <t xml:space="preserve">  Annual expected evolution of subsidies until 2030 [%]</t>
  </si>
  <si>
    <t xml:space="preserve">  Average incentive for purchasing/ bus in 2015 [EUR]</t>
  </si>
  <si>
    <t xml:space="preserve">  Annual expected evolution bus purchasing incentives [%]</t>
  </si>
  <si>
    <t xml:space="preserve">  Other revenues (e.g. grants) in 2015 [EUR]</t>
  </si>
  <si>
    <t xml:space="preserve">  Annual expected evolution of other revenues [%]</t>
  </si>
  <si>
    <t xml:space="preserve">     Labour costs [EUR/ bus] </t>
  </si>
  <si>
    <t xml:space="preserve">  Annual expected evolution of diesel fuel price until 2030 [%]</t>
  </si>
  <si>
    <t xml:space="preserve">  Average number of passengers/ bus - 12 - 13.5 m [#]</t>
  </si>
  <si>
    <t xml:space="preserve">  Average number of passengers/ bus - 18 m [#]</t>
  </si>
  <si>
    <t xml:space="preserve">  Please select if you would like to take into consideration downtime costs and 
  highlight the TSC calculation</t>
  </si>
  <si>
    <t>Total SORT</t>
  </si>
  <si>
    <t>Final</t>
  </si>
  <si>
    <t xml:space="preserve">  Annual expected evolution of hydrogen fuel price until 2030 [%]</t>
  </si>
  <si>
    <t xml:space="preserve">  Price of hydrogen fuel in 2015 [EUR/ kg]</t>
  </si>
  <si>
    <t xml:space="preserve">  Scenario selected for RES level (0% equals electricity from grid) [%] </t>
  </si>
  <si>
    <t xml:space="preserve">   Would you like to use on-site production through electrolysis?</t>
  </si>
  <si>
    <t xml:space="preserve">  Please select  the year in which the new hydrogen infrastructure 
  facilities should be deployed</t>
  </si>
  <si>
    <t xml:space="preserve">  Fuel consumption of a 12 - 13.5 m FC bus in 2015 [kg/ 100 km]</t>
  </si>
  <si>
    <t xml:space="preserve">  Fuel consumption of a 18 m FC bus in 2015 [kg/ 100 km]</t>
  </si>
  <si>
    <t xml:space="preserve">  Availability and planned maintenance evolution</t>
  </si>
  <si>
    <t xml:space="preserve">   Expected average availability across fleet [%]</t>
  </si>
  <si>
    <t xml:space="preserve">   BACKGROUND AND CONTEXT</t>
  </si>
  <si>
    <t>Emission analysis</t>
  </si>
  <si>
    <r>
      <rPr>
        <b/>
        <sz val="12"/>
        <color theme="1"/>
        <rFont val="Arial"/>
        <family val="2"/>
        <charset val="238"/>
      </rPr>
      <t xml:space="preserve">    Results </t>
    </r>
    <r>
      <rPr>
        <sz val="12"/>
        <color theme="1"/>
        <rFont val="Arial"/>
        <family val="2"/>
        <charset val="238"/>
      </rPr>
      <t>- TCO/ TSC development and costs evolution</t>
    </r>
  </si>
  <si>
    <t xml:space="preserve">    Further assumptions</t>
  </si>
  <si>
    <r>
      <rPr>
        <b/>
        <sz val="16"/>
        <color rgb="FF002060"/>
        <rFont val="Arial"/>
        <family val="2"/>
        <charset val="238"/>
      </rPr>
      <t>B.</t>
    </r>
    <r>
      <rPr>
        <b/>
        <sz val="14"/>
        <color theme="4"/>
        <rFont val="Arial"/>
        <family val="2"/>
        <charset val="238"/>
      </rPr>
      <t xml:space="preserve"> PLEASE INSERT FC BUS PURCHASING PRICE AND MAINTENANCE COSTS </t>
    </r>
    <r>
      <rPr>
        <sz val="14"/>
        <color theme="4"/>
        <rFont val="Arial"/>
        <family val="2"/>
        <charset val="238"/>
      </rPr>
      <t>(if left blank industry prices presented in the study will be reflected)</t>
    </r>
  </si>
  <si>
    <r>
      <rPr>
        <b/>
        <sz val="16"/>
        <color rgb="FF002060"/>
        <rFont val="Arial"/>
        <family val="2"/>
        <charset val="238"/>
      </rPr>
      <t xml:space="preserve">C. </t>
    </r>
    <r>
      <rPr>
        <b/>
        <sz val="14"/>
        <color theme="4"/>
        <rFont val="Arial"/>
        <family val="2"/>
        <charset val="238"/>
      </rPr>
      <t xml:space="preserve">PLEASE INSERT HYDROGEN INFRASTRUCTURE COSTS   </t>
    </r>
    <r>
      <rPr>
        <sz val="14"/>
        <color theme="4"/>
        <rFont val="Arial"/>
        <family val="2"/>
        <charset val="238"/>
      </rPr>
      <t>(if not changed industry</t>
    </r>
    <r>
      <rPr>
        <sz val="14"/>
        <color theme="9"/>
        <rFont val="Arial"/>
        <family val="2"/>
        <charset val="238"/>
      </rPr>
      <t xml:space="preserve"> </t>
    </r>
    <r>
      <rPr>
        <sz val="14"/>
        <color theme="4"/>
        <rFont val="Arial"/>
        <family val="2"/>
        <charset val="238"/>
      </rPr>
      <t>prices will be considered)</t>
    </r>
  </si>
  <si>
    <r>
      <rPr>
        <b/>
        <sz val="16"/>
        <color rgb="FF002060"/>
        <rFont val="Arial"/>
        <family val="2"/>
        <charset val="238"/>
      </rPr>
      <t>D.</t>
    </r>
    <r>
      <rPr>
        <b/>
        <sz val="14"/>
        <color theme="4"/>
        <rFont val="Arial"/>
        <family val="2"/>
        <charset val="238"/>
      </rPr>
      <t xml:space="preserve"> PLEASE INSERT FUEL, LABOUR AND FINANCING COSTS </t>
    </r>
    <r>
      <rPr>
        <sz val="14"/>
        <color theme="4"/>
        <rFont val="Arial"/>
        <family val="2"/>
        <charset val="238"/>
      </rPr>
      <t>(if not changed average prices from study will be considered)</t>
    </r>
  </si>
  <si>
    <t>Bus purchasing price</t>
  </si>
  <si>
    <t>Maintenance costs - 12 - 13.5 m bus</t>
  </si>
  <si>
    <t>Maintenance costs - 18 m bus</t>
  </si>
  <si>
    <t>Hydrogen infrastructure</t>
  </si>
  <si>
    <t xml:space="preserve">  Assumptions applied for fuel costs</t>
  </si>
  <si>
    <t xml:space="preserve">  Assumptions applied for labour costs</t>
  </si>
  <si>
    <t>Workshop adaptation costs</t>
  </si>
  <si>
    <r>
      <rPr>
        <b/>
        <sz val="16"/>
        <color rgb="FF002060"/>
        <rFont val="Arial"/>
        <family val="2"/>
        <charset val="238"/>
      </rPr>
      <t xml:space="preserve">E. </t>
    </r>
    <r>
      <rPr>
        <b/>
        <sz val="14"/>
        <color theme="4"/>
        <rFont val="Arial"/>
        <family val="2"/>
        <charset val="238"/>
      </rPr>
      <t>PLEASE INSERT ASSUMPTIONS FOR THE ENVIRONMENTAL ANALYSIS</t>
    </r>
  </si>
  <si>
    <t xml:space="preserve">  Assumptions applied for the environmental analysis (only relevant for on-site production)</t>
  </si>
  <si>
    <t xml:space="preserve">  Operating license [EUR/ vehicle]</t>
  </si>
  <si>
    <t>ASSUMPTIONS APPLIED FOR COMPILING FC BUS TCO/ TSC (Agreed on in the study)</t>
  </si>
  <si>
    <t xml:space="preserve">   Expected planned maintenance for FC bus [days/ year]</t>
  </si>
  <si>
    <t xml:space="preserve">  Assumptions applied for depreciation costs</t>
  </si>
  <si>
    <t>ASSUMPTIONS APPLIED FOR COMPARISON DIESEL BUS TCO/ TSC</t>
  </si>
  <si>
    <t xml:space="preserve">  Annual total distance traveled</t>
  </si>
  <si>
    <t xml:space="preserve">  Total number of FC buses produced and sold in Europe during indicated period</t>
  </si>
  <si>
    <t xml:space="preserve">  Market development considered for calculation</t>
  </si>
  <si>
    <t xml:space="preserve">  Associated roll-out scenario</t>
  </si>
  <si>
    <t>Niche + Scale</t>
  </si>
  <si>
    <t xml:space="preserve">180-300 </t>
  </si>
  <si>
    <t>600-900</t>
  </si>
  <si>
    <t>1,500-15,000</t>
  </si>
  <si>
    <t>2015-2016</t>
  </si>
  <si>
    <t>2017-2020</t>
  </si>
  <si>
    <t>2021-2025</t>
  </si>
  <si>
    <t>2026-2030</t>
  </si>
  <si>
    <r>
      <rPr>
        <b/>
        <sz val="16"/>
        <color rgb="FF002060"/>
        <rFont val="Arial"/>
        <family val="2"/>
        <charset val="238"/>
      </rPr>
      <t xml:space="preserve">F. </t>
    </r>
    <r>
      <rPr>
        <b/>
        <sz val="14"/>
        <color theme="4"/>
        <rFont val="Arial"/>
        <family val="2"/>
        <charset val="238"/>
      </rPr>
      <t>PLEASE INSERT OTHER KEY ASSUMPTIONS</t>
    </r>
  </si>
  <si>
    <r>
      <rPr>
        <b/>
        <sz val="12"/>
        <color theme="1"/>
        <rFont val="Arial"/>
        <family val="2"/>
        <charset val="238"/>
      </rPr>
      <t xml:space="preserve">    Introduction</t>
    </r>
    <r>
      <rPr>
        <sz val="12"/>
        <color theme="1"/>
        <rFont val="Arial"/>
        <family val="2"/>
        <charset val="238"/>
      </rPr>
      <t xml:space="preserve"> - Purpose of the tool and utilization instructions</t>
    </r>
  </si>
  <si>
    <r>
      <t xml:space="preserve">  </t>
    </r>
    <r>
      <rPr>
        <b/>
        <sz val="12"/>
        <color theme="1"/>
        <rFont val="Arial"/>
        <family val="2"/>
        <charset val="238"/>
      </rPr>
      <t xml:space="preserve">  Input </t>
    </r>
    <r>
      <rPr>
        <sz val="12"/>
        <color theme="1"/>
        <rFont val="Arial"/>
        <family val="2"/>
        <charset val="238"/>
      </rPr>
      <t>- Input data options</t>
    </r>
  </si>
  <si>
    <r>
      <t xml:space="preserve">PLEASE READ THIS INTRODUCTION CAREFULLY BEFORE INSERTING DATA OR MODIFYING THE TOOL 
</t>
    </r>
    <r>
      <rPr>
        <b/>
        <sz val="14"/>
        <color rgb="FFFF0000"/>
        <rFont val="Arial"/>
        <family val="2"/>
      </rPr>
      <t>Please save a clean version of this tool before inputing data in order to revert to formulas and default industry data</t>
    </r>
  </si>
  <si>
    <r>
      <t>The cost analysis tool was developed in the context of the FCH JU - Hydrogen Fuel Cell Buses Commercialisation Study  to illustrate potential</t>
    </r>
    <r>
      <rPr>
        <b/>
        <sz val="10"/>
        <rFont val="Arial"/>
        <family val="2"/>
        <charset val="238"/>
      </rPr>
      <t xml:space="preserve"> TCO (Total Cost of Ownership)/ TSC (Total Cost of Servicing) development</t>
    </r>
    <r>
      <rPr>
        <sz val="10"/>
        <rFont val="Arial"/>
        <family val="2"/>
        <charset val="238"/>
      </rPr>
      <t xml:space="preserve"> and </t>
    </r>
    <r>
      <rPr>
        <b/>
        <sz val="10"/>
        <rFont val="Arial"/>
        <family val="2"/>
        <charset val="238"/>
      </rPr>
      <t>high level evolution of costs</t>
    </r>
    <r>
      <rPr>
        <sz val="10"/>
        <rFont val="Arial"/>
        <family val="2"/>
        <charset val="238"/>
      </rPr>
      <t xml:space="preserve"> for rollout of different sizes of FC bus fleets and deployment of associated  hydrogen infrastructure. The tool provides a good first indication of the effect of different levers on the overall TCO/ TSC development for 2 main types of buses (12 - 13.5 m standard buses and 18 m articulated buses).
</t>
    </r>
    <r>
      <rPr>
        <b/>
        <sz val="10"/>
        <rFont val="Arial"/>
        <family val="2"/>
        <charset val="238"/>
      </rPr>
      <t>ADAPTATION TO SPECIFIC CASE IS REQUIRED</t>
    </r>
    <r>
      <rPr>
        <sz val="10"/>
        <rFont val="Arial"/>
        <family val="2"/>
        <charset val="238"/>
      </rPr>
      <t xml:space="preserve"> - The costs are computed based on input parameters and assumptions agreed on by the coalition members. The data should be changed by each user in order to apply the cost analysis to it´s specific circumstances (e.g. deployment scheme, labour costs, feedstock prices, financing costs, etc). If the parameters are not changed by the user, the tool automatically calculates based on those general cost projections for FC buses and hydrogen infrastructure that have been generated during the study. Real market prices can be higher or slightly lower than figures provided by default in the tool.
</t>
    </r>
    <r>
      <rPr>
        <b/>
        <sz val="10"/>
        <rFont val="Arial"/>
        <family val="2"/>
        <charset val="238"/>
      </rPr>
      <t xml:space="preserve">HIGH LEVEL ASSESSMENT </t>
    </r>
    <r>
      <rPr>
        <sz val="10"/>
        <rFont val="Arial"/>
        <family val="2"/>
        <charset val="238"/>
      </rPr>
      <t xml:space="preserve">- The tool provides a high level assessment that shall contribute to a preliminary, indicative evaluation of the costs of deploying FC bus fleets in different locations. The tool itself does not automatically reflect specific circumstances of individual countries or the operation parameters of bus operators. Therefore, the results generated by this tool are indicative and do not substitute development of detailed business cases for individual locations (based on real quotes from potential suppliers) and taking into consideration all associated risks (e.g. prolonged permitting processes). The tool is not generic as it assesses costs based on assumptions agreed-on in the framework of the study. 
</t>
    </r>
    <r>
      <rPr>
        <b/>
        <sz val="10"/>
        <rFont val="Arial"/>
        <family val="2"/>
      </rPr>
      <t xml:space="preserve">SAVE A CLEAN VERSION OF THE TOOL - </t>
    </r>
    <r>
      <rPr>
        <sz val="10"/>
        <rFont val="Arial"/>
        <family val="2"/>
      </rPr>
      <t>Please save a clean original version of the tool. Overwriting formulas and default data may lead to a loss thereof. Once default data has been overwritten with user data, reverting to the default average industry data and formulas may not be possible any more.</t>
    </r>
  </si>
  <si>
    <r>
      <t xml:space="preserve">Results generated by the cost analysis tool are illustrated in the "Results" spreadsheet and in both graphic (i.e. charts) and dashboard (i.e. table) presentation modes. These results are split into 3 categories:  
</t>
    </r>
    <r>
      <rPr>
        <b/>
        <sz val="10"/>
        <rFont val="Arial"/>
        <family val="2"/>
        <charset val="238"/>
      </rPr>
      <t xml:space="preserve">
TCO/ TSC development
</t>
    </r>
    <r>
      <rPr>
        <sz val="10"/>
        <rFont val="Arial"/>
        <family val="2"/>
        <charset val="238"/>
      </rPr>
      <t xml:space="preserve">Based on specific assumptions set by the user, TCO/ TSC development for the 2015 - 2030 is presented for FC buses for two lengths. Comparison with a conventional diesel bus is available for better understanding of the impact of assumptions considered. 
TCO is the total cost of ownership of the FC buses, whereas the Total Servicing Cost (TSC) reflects the actual costs of FC bus introduction for operators as is includes downtime costs due to a lower availability expected of the FC bus in the first years. TCO does not take into account downtime costs and therefore assumes a lower overall distance travelled. Hence, per km costs of the FC buses are higher. TSC takes into consideration costs for diesel replacement buses and assumes an overall availability of 98% with a higher annual distance travelled. In most cases, TSC is lower than TCO since the fixed costs depreciate over a higher number of km driven by FC and diesel buses. In practice, downtime costs need to be considered by operators. Hence, TSC provides a more realistic perspective on costs.
For complete transparency over the cost categories comprised by the TCO/ TSC a dashboard mode has been set up for both FC and diesel buses. Users can assess the evolution of these cost categories (e.g.  bus depreciation costs, bus maintenance costs, fuel costs, infrastructure depreciation &amp; maintenance, labour costs, etc). 
The TCO/ TSC development and the expected evolution of the FC Bus purchasing costs has been graphically illustrated. The graphic chart adapts input changes immediately after entering to show the effect of changes. 
The TCO/ TSC is presented for specific years, reflecting the costs incurred within the specific year. Hence, TCO/TSC is not an average over the total lifetime of the bus, but applicable to a specific year. 
The projections are based on underlying volume assumptions and corresponding price projections for scenarios agreed on in the study. The niche scenario figures are applied until 2020 while the years 2021 to 2030 are based on the production at scale scenario figures. 
</t>
    </r>
    <r>
      <rPr>
        <b/>
        <sz val="10"/>
        <rFont val="Arial"/>
        <family val="2"/>
        <charset val="238"/>
      </rPr>
      <t>High level evolution of costs</t>
    </r>
    <r>
      <rPr>
        <sz val="10"/>
        <rFont val="Arial"/>
        <family val="2"/>
        <charset val="238"/>
      </rPr>
      <t xml:space="preserve">
Based on the specific deployment schedule provided by the user, annual costs with FC bus fleet deployment, including associated hydrogen infrastructure are compiled and illustrated for the 2015 - 2030 period 
</t>
    </r>
    <r>
      <rPr>
        <b/>
        <sz val="10"/>
        <rFont val="Arial"/>
        <family val="2"/>
        <charset val="238"/>
      </rPr>
      <t>High level emissions analysis</t>
    </r>
    <r>
      <rPr>
        <sz val="10"/>
        <rFont val="Arial"/>
        <family val="2"/>
        <charset val="238"/>
      </rPr>
      <t xml:space="preserve">
Carbon dioxide reduction potential and associated potential cost benefits until 2030 are estimated based on the Directive 2009/33/EC. Potential cost</t>
    </r>
    <r>
      <rPr>
        <sz val="10"/>
        <color rgb="FFFF0000"/>
        <rFont val="Arial"/>
        <family val="2"/>
        <charset val="238"/>
      </rPr>
      <t xml:space="preserve"> </t>
    </r>
    <r>
      <rPr>
        <sz val="10"/>
        <rFont val="Arial"/>
        <family val="2"/>
        <charset val="238"/>
      </rPr>
      <t xml:space="preserve">benefits from the reduction of air pollutant emissions are estimated until 2030. </t>
    </r>
  </si>
  <si>
    <t>2. Structure of the cost analysis tool</t>
  </si>
  <si>
    <t>3. Results of the cost analysis tool</t>
  </si>
  <si>
    <t>4.  Instructions for Use - Data to be inserted in spreadsheet "Input"</t>
  </si>
  <si>
    <r>
      <rPr>
        <b/>
        <sz val="10"/>
        <rFont val="Arial"/>
        <family val="2"/>
        <charset val="238"/>
      </rPr>
      <t>Contents</t>
    </r>
    <r>
      <rPr>
        <sz val="10"/>
        <rFont val="Arial"/>
        <family val="2"/>
        <charset val="238"/>
      </rPr>
      <t xml:space="preserve"> - provides easy navigation through the spreadsheets
</t>
    </r>
    <r>
      <rPr>
        <b/>
        <sz val="10"/>
        <rFont val="Arial"/>
        <family val="2"/>
        <charset val="238"/>
      </rPr>
      <t>Introduction</t>
    </r>
    <r>
      <rPr>
        <sz val="10"/>
        <rFont val="Arial"/>
        <family val="2"/>
        <charset val="238"/>
      </rPr>
      <t xml:space="preserve"> - facilitates overall introduction of the tool and utilization instructions
</t>
    </r>
    <r>
      <rPr>
        <b/>
        <sz val="10"/>
        <rFont val="Arial"/>
        <family val="2"/>
        <charset val="238"/>
      </rPr>
      <t>Input</t>
    </r>
    <r>
      <rPr>
        <sz val="10"/>
        <rFont val="Arial"/>
        <family val="2"/>
        <charset val="238"/>
      </rPr>
      <t xml:space="preserve"> - allows filling in of all assumptions and selection of options; overall FC bus TCO/ TSC development and comparison with diesel bus is graphically illustrated 
</t>
    </r>
    <r>
      <rPr>
        <b/>
        <sz val="10"/>
        <rFont val="Arial"/>
        <family val="2"/>
        <charset val="238"/>
      </rPr>
      <t xml:space="preserve">Results </t>
    </r>
    <r>
      <rPr>
        <sz val="10"/>
        <rFont val="Arial"/>
        <family val="2"/>
        <charset val="238"/>
      </rPr>
      <t xml:space="preserve">- illustrates main results of the tool - TCO/ TSC development, evolution of costs and high level emission analysis
</t>
    </r>
    <r>
      <rPr>
        <b/>
        <sz val="10"/>
        <rFont val="Arial"/>
        <family val="2"/>
        <charset val="238"/>
      </rPr>
      <t>Further assumptions</t>
    </r>
    <r>
      <rPr>
        <sz val="10"/>
        <rFont val="Arial"/>
        <family val="2"/>
        <charset val="238"/>
      </rPr>
      <t xml:space="preserve"> - presents further underlying assumptions (bus availability, annual distance travelled and lifetime, assumptions of the diesel bus comparison)</t>
    </r>
  </si>
  <si>
    <t xml:space="preserve">  Average European default feedstock prices (if no other data is inputed)</t>
  </si>
  <si>
    <t xml:space="preserve">  Assumptions for diesel buses - bus related</t>
  </si>
  <si>
    <t xml:space="preserve">  Assumptions for Diesel buses - infrastructure related</t>
  </si>
  <si>
    <t xml:space="preserve">Actual costs for operators per annum </t>
  </si>
  <si>
    <r>
      <t xml:space="preserve">OVERALL INSTRUCTIONS
   </t>
    </r>
    <r>
      <rPr>
        <sz val="10"/>
        <rFont val="Arial"/>
        <family val="2"/>
      </rPr>
      <t>The tool calculates based on the data generated during the course of the study. Users can overwrite the general data in order to assess costs for their specific cases. 
   a. All input data from users must be completed in the input spreadsheet; No other spreadsheet is open for editing
   b. Only yellow coloured cells are open for editing - When clicking on these cells a detailed explanation text will appear for guidance
   c. All data inputs can be modified several times in order to see impact on results - if no data is available, the default value (study results) is taken into consideration</t>
    </r>
    <r>
      <rPr>
        <b/>
        <sz val="10"/>
        <rFont val="Arial"/>
        <family val="2"/>
        <charset val="238"/>
      </rPr>
      <t xml:space="preserve">
Please bear in mind that after overwriting a cell reverting to the initial study data is only possible by reopening the document - Please save a clean version of the tool 
INPUT spreadsheet
</t>
    </r>
    <r>
      <rPr>
        <sz val="10"/>
        <rFont val="Arial"/>
        <family val="2"/>
      </rPr>
      <t>A. Overarching assumptions and options
- Insert number of FC buses envisaged for deployment in each year - Based on this input, the required infrastructure capacity will be automatically selected from 4 different capacity thresholds as defined in the study (designed to cater for 20, 50, 100 and 200 buses). Within these thresholds, the variance of costs can be limited, e.g. between 25 and 30 buses. The tool only considers up to 200 FC Buses. Results from the onoing engineering study can inform the ammendment of the tool.
- Select whether downtime costs shall be considered. The results will then switch from TCO (only FC bus) to TSC (costs of diesel replacement bus included). 
- Select whether hydrogen production on-site shall be considered. For your information: 2 hydrogen production options have been defined within the tool: offsite production of hydrogen by steam reforming and truck distribution to the site (default option) and onsite production of hydrogen by electrolysis with electricity. Both options take into consideration a hydrogen refuelling station (HRS) onsite that will automatically be included in the calculation, based on the chosen number of buses. 
- Select the year in which the new infrastructure facilities should be employed. Please bear in mind that selection of a year after 2015 produces a TCO/ TSC calculation that does not consider any infrastructure costs before the year of deployment (warning message will appear). This case would assume that refuelling (and, if applicable, on-site production) infrastructure is available. Costs will not be reflected in years before deployment. 
- Select the scenario of the feedstock prices development (natural gas and electricity). In the study as in the tool, 4 scenarios have been defined (base case, upside, downside and best case); Base case is the default option that reflects general prices on a European level. They can be overwritten by users, while the other 3 scenarios are variations of the defined base case scenario (detailed ranges appear when clicking on the cell).</t>
    </r>
    <r>
      <rPr>
        <b/>
        <sz val="10"/>
        <rFont val="Arial"/>
        <family val="2"/>
        <charset val="238"/>
      </rPr>
      <t xml:space="preserve">
B. FC bus purchasing price and maintenance costs
</t>
    </r>
    <r>
      <rPr>
        <sz val="10"/>
        <rFont val="Arial"/>
        <family val="2"/>
      </rPr>
      <t xml:space="preserve">- The tool incorporates by default industry figures for FC bus purchasing prices and maintenance costs obtained though the clean team analysis performed within the study. Figures based on quotes from suppliers can be filled in for the year 2015 and the remaining values until 2030 will be computed based on a cost down curve projected within the framework of this study. Prices can only be entered for 2015. The cost down curves specified in the study will be applied to the value entered for 2015. </t>
    </r>
    <r>
      <rPr>
        <b/>
        <sz val="10"/>
        <rFont val="Arial"/>
        <family val="2"/>
        <charset val="238"/>
      </rPr>
      <t xml:space="preserve">
C. Hydrogen infrastructure costs
</t>
    </r>
    <r>
      <rPr>
        <sz val="10"/>
        <rFont val="Arial"/>
        <family val="2"/>
      </rPr>
      <t xml:space="preserve">- The tool incorporates by default industry figures for hydrogen infrastructure costs obtained though the clean team analysis performed within the study. Figures based on quotes from suppliers can be filled in for the year 2015 and the remaining values until 2030 will be computed based on a cost down curve projected within the framework of this study. Prices can only be entered for the year 2015. If infrastructure costs are not applicable, as current infrastructure can be used, please enter "0" costs into the data cell. In this case, no infrastructure costs will be calculated in the results. 
</t>
    </r>
    <r>
      <rPr>
        <b/>
        <sz val="10"/>
        <rFont val="Arial"/>
        <family val="2"/>
        <charset val="238"/>
      </rPr>
      <t xml:space="preserve">
D. Fuel, labour and financing costs
</t>
    </r>
    <r>
      <rPr>
        <sz val="10"/>
        <rFont val="Arial"/>
        <family val="2"/>
      </rPr>
      <t xml:space="preserve">- Fuel costs: Data points can be changed by the user according to the specific situation. If the user has available figures based on prior FC bus experience or direct info from bus OEMs these can be filled in for the year 2015 and the remaining values until 2030 will be computed based on the projections defined in the study, starting from the entered value. Electricity prices are only required and taken into account if the on-site production method is selected. In this case, please do not enter a hydorgen price as it can skew the results, since it is assumed that the hydrogen price includes all production costs including infrastructure - which would not be the case in the on-site production method.
- Labour costs: Data points can be changed by the user according to specific situation; Cleaning and servicing costs for the selected number of buses are included in this category due to high labour intensity.
- Financing costs: Annualized investment costs calculated based on WACC (Weighted Average Cost of Capital) and asset lifetime. WACC can be changed by the user according to specific situation. 
- Workshop adaptation costs are currently set for EUR 250,000 if the total number buses deployed is below 50 and EUR 500,000 if total number buses deployed is above 50. This data can </t>
    </r>
    <r>
      <rPr>
        <b/>
        <sz val="10"/>
        <rFont val="Arial"/>
        <family val="2"/>
        <charset val="238"/>
      </rPr>
      <t xml:space="preserve">be overwritten.
E. Assumptions for the high level emission analysis in case of on-site production of hydrogen with electrolysis
</t>
    </r>
    <r>
      <rPr>
        <sz val="10"/>
        <rFont val="Arial"/>
        <family val="2"/>
      </rPr>
      <t xml:space="preserve">- Emission analysis is only conducted if on-site production option is selected (warning message will appear otherwise)  
- Select the share of RES (Renewable Energy Sources) to be used for hydrogen production - a high share of RES used will automatically lead to high reduction of carbon dioxide emissions, but also higher additional costs incurred for electricity
- Select the country in which the user is operating. The CO2 footprint of grid electricity generated in 2015 and an expected reduction from improved energy mix will automatically be selected (if your country is not in the list please introduce the values manually)
</t>
    </r>
    <r>
      <rPr>
        <b/>
        <sz val="10"/>
        <rFont val="Arial"/>
        <family val="2"/>
        <charset val="238"/>
      </rPr>
      <t xml:space="preserve">
F. Other key assumptions </t>
    </r>
    <r>
      <rPr>
        <sz val="10"/>
        <rFont val="Arial"/>
        <family val="2"/>
      </rPr>
      <t xml:space="preserve">
- Comparison of hydrogen FC bus TCO/ TSC is performed against the conventional diesel bus TCO. The TCO of the diesel bus is mainly driven by the fuel costs, which are highly influenced by current fuel price and its envisaged evolution. Consequently, the user is able to modify these values in the tool according to its individual situation</t>
    </r>
  </si>
  <si>
    <t xml:space="preserve"> Labor costs [EUR/ km]</t>
  </si>
  <si>
    <t xml:space="preserve"> Bus depreciation costs [EUR]</t>
  </si>
  <si>
    <t xml:space="preserve"> Bus maintenance costs [EUR]</t>
  </si>
  <si>
    <t xml:space="preserve"> Infrastructure depreciation &amp; maintenance [EUR]</t>
  </si>
  <si>
    <t xml:space="preserve"> Workshop adaptation costs - depreciation [EUR/ km]</t>
  </si>
  <si>
    <t xml:space="preserve"> Workshop adaptation costs - depreciation [EUR]</t>
  </si>
  <si>
    <t xml:space="preserve">
COST ANALYSIS TOOL</t>
  </si>
  <si>
    <r>
      <t xml:space="preserve">This tool was developed in the context of the FCH JU - Hydrogen Fuel Cell Buses Commercialisation Study. It provides a high level analysis of costs for the rollout of different sizes of fuel cell (FC) bus fleets and deployment of associated hydrogen infrastructure. 
The tool is based on a number of assumptions, projections and framework conditions developed jointly with the coalition during the bus study. The purpose of the tool is to assess the costs of FC bus roll-out for individual bus operators by applying the methodology and general framework of the study to the circumstances of participating operators. Hence, the results can only be seen within the context of this particular bus study.
The tool provides a high level assessment that can contribute to a preliminary, indicative evaluation of the costs of deploying FC bus fleets. The tool itself does not automatically reflect specific circumstances of individual countries or the operation parameters of bus operators. Therefore, the results cannot substitute detailed business cases for individual locations (based on quotes from suppliers) and the consideration of all associated specific risks and costs.
</t>
    </r>
    <r>
      <rPr>
        <sz val="11"/>
        <rFont val="Arial"/>
        <family val="2"/>
        <charset val="238"/>
      </rPr>
      <t xml:space="preserve">
The FCH JU or consultants involved in the study do not accept any liability for the results displayed by the tool.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</si>
</sst>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 _l_e_i_-;\-* #,##0.00\ _l_e_i_-;_-* &quot;-&quot;??\ _l_e_i_-;_-@_-"/>
    <numFmt numFmtId="165" formatCode="_(* #,##0.00_);_(* \(#,##0.00\);_(* &quot;-&quot;??_);_(@_)"/>
    <numFmt numFmtId="166" formatCode="0.0%"/>
    <numFmt numFmtId="167" formatCode="_-* #,##0\ _l_e_i_-;\-* #,##0\ _l_e_i_-;_-* &quot;-&quot;??\ _l_e_i_-;_-@_-"/>
    <numFmt numFmtId="168" formatCode="0.0"/>
    <numFmt numFmtId="169" formatCode="#,##0_ ;\-#,##0\ "/>
    <numFmt numFmtId="170" formatCode="#,##0.0"/>
    <numFmt numFmtId="171" formatCode="0.000"/>
    <numFmt numFmtId="172" formatCode="0.0000"/>
    <numFmt numFmtId="173" formatCode="_-* #,##0\ _€_-;\-* #,##0\ _€_-;_-* &quot;-&quot;??\ _€_-;_-@_-"/>
    <numFmt numFmtId="174" formatCode="_-* #,##0.0\ _l_e_i_-;\-* #,##0.0\ _l_e_i_-;_-* &quot;-&quot;??\ _l_e_i_-;_-@_-"/>
    <numFmt numFmtId="175" formatCode="_-* #,##0.000\ _l_e_i_-;\-* #,##0.000\ _l_e_i_-;_-* &quot;-&quot;??\ _l_e_i_-;_-@_-"/>
  </numFmts>
  <fonts count="104" x14ac:knownFonts="1">
    <font>
      <sz val="10"/>
      <color theme="1"/>
      <name val="Arial"/>
      <family val="2"/>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font>
    <font>
      <b/>
      <sz val="10"/>
      <color theme="1"/>
      <name val="Arial"/>
      <family val="2"/>
      <charset val="238"/>
    </font>
    <font>
      <sz val="10"/>
      <name val="Arial"/>
      <family val="2"/>
      <charset val="238"/>
    </font>
    <font>
      <sz val="10"/>
      <name val="Arial"/>
      <family val="2"/>
    </font>
    <font>
      <sz val="10"/>
      <color indexed="8"/>
      <name val="Arial"/>
      <family val="2"/>
    </font>
    <font>
      <sz val="10"/>
      <color theme="0"/>
      <name val="Arial"/>
      <family val="2"/>
    </font>
    <font>
      <sz val="10"/>
      <name val="Arial"/>
      <family val="2"/>
      <charset val="238"/>
    </font>
    <font>
      <sz val="10"/>
      <name val="Arial"/>
      <family val="2"/>
    </font>
    <font>
      <sz val="11"/>
      <color theme="1"/>
      <name val="Calibri"/>
      <family val="2"/>
      <scheme val="minor"/>
    </font>
    <font>
      <sz val="10"/>
      <color theme="0" tint="-4.9989318521683403E-2"/>
      <name val="Arial"/>
      <family val="2"/>
    </font>
    <font>
      <b/>
      <sz val="10"/>
      <color theme="0"/>
      <name val="Arial"/>
      <family val="2"/>
      <charset val="238"/>
    </font>
    <font>
      <b/>
      <sz val="11"/>
      <color theme="0"/>
      <name val="Arial"/>
      <family val="2"/>
      <charset val="238"/>
    </font>
    <font>
      <sz val="10"/>
      <name val="Arial"/>
      <family val="2"/>
      <charset val="238"/>
    </font>
    <font>
      <sz val="10"/>
      <color rgb="FFFF0000"/>
      <name val="Arial"/>
      <family val="2"/>
    </font>
    <font>
      <sz val="14"/>
      <color theme="9"/>
      <name val="Wingdings"/>
      <charset val="2"/>
    </font>
    <font>
      <sz val="14"/>
      <color theme="9"/>
      <name val="Arial"/>
      <family val="2"/>
    </font>
    <font>
      <sz val="10"/>
      <color theme="0"/>
      <name val="Arial"/>
      <family val="2"/>
      <charset val="238"/>
    </font>
    <font>
      <i/>
      <sz val="9"/>
      <color theme="1"/>
      <name val="Arial"/>
      <family val="2"/>
    </font>
    <font>
      <i/>
      <sz val="9"/>
      <color theme="1"/>
      <name val="Arial"/>
      <family val="2"/>
      <charset val="238"/>
    </font>
    <font>
      <i/>
      <sz val="9"/>
      <color theme="9"/>
      <name val="Wingdings"/>
      <charset val="2"/>
    </font>
    <font>
      <sz val="9"/>
      <color theme="1"/>
      <name val="Arial"/>
      <family val="2"/>
    </font>
    <font>
      <i/>
      <sz val="9"/>
      <color theme="0"/>
      <name val="Arial"/>
      <family val="2"/>
    </font>
    <font>
      <i/>
      <sz val="9"/>
      <color rgb="FFFF0000"/>
      <name val="Arial"/>
      <family val="2"/>
    </font>
    <font>
      <b/>
      <sz val="10"/>
      <color theme="1"/>
      <name val="Arial"/>
      <family val="2"/>
    </font>
    <font>
      <b/>
      <sz val="14"/>
      <color theme="9"/>
      <name val="Wingdings"/>
      <charset val="2"/>
    </font>
    <font>
      <i/>
      <sz val="9"/>
      <color theme="0"/>
      <name val="Arial"/>
      <family val="2"/>
      <charset val="238"/>
    </font>
    <font>
      <i/>
      <sz val="9"/>
      <name val="Arial"/>
      <family val="2"/>
      <charset val="238"/>
    </font>
    <font>
      <b/>
      <sz val="10"/>
      <name val="Arial"/>
      <family val="2"/>
    </font>
    <font>
      <sz val="14"/>
      <color theme="9"/>
      <name val="Wingdings 2"/>
      <family val="1"/>
      <charset val="2"/>
    </font>
    <font>
      <b/>
      <sz val="10"/>
      <color rgb="FFFF0000"/>
      <name val="Arial"/>
      <family val="2"/>
      <charset val="238"/>
    </font>
    <font>
      <b/>
      <sz val="12"/>
      <color theme="1"/>
      <name val="Arial"/>
      <family val="2"/>
      <charset val="238"/>
    </font>
    <font>
      <b/>
      <sz val="12"/>
      <color rgb="FFFF0000"/>
      <name val="Arial"/>
      <family val="2"/>
      <charset val="238"/>
    </font>
    <font>
      <b/>
      <sz val="12"/>
      <name val="Arial"/>
      <family val="2"/>
      <charset val="238"/>
    </font>
    <font>
      <b/>
      <sz val="11"/>
      <name val="Arial"/>
      <family val="2"/>
      <charset val="238"/>
    </font>
    <font>
      <sz val="11"/>
      <name val="Arial"/>
      <family val="2"/>
      <charset val="238"/>
    </font>
    <font>
      <b/>
      <sz val="10"/>
      <name val="Arial"/>
      <family val="2"/>
      <charset val="238"/>
    </font>
    <font>
      <b/>
      <i/>
      <sz val="9"/>
      <name val="Arial"/>
      <family val="2"/>
      <charset val="238"/>
    </font>
    <font>
      <b/>
      <sz val="11"/>
      <color rgb="FFFF0000"/>
      <name val="Arial"/>
      <family val="2"/>
      <charset val="238"/>
    </font>
    <font>
      <b/>
      <sz val="9"/>
      <name val="Arial"/>
      <family val="2"/>
      <charset val="238"/>
    </font>
    <font>
      <sz val="9"/>
      <name val="Arial"/>
      <family val="2"/>
      <charset val="238"/>
    </font>
    <font>
      <b/>
      <sz val="9"/>
      <color theme="1"/>
      <name val="Arial"/>
      <family val="2"/>
      <charset val="238"/>
    </font>
    <font>
      <sz val="9"/>
      <color theme="1"/>
      <name val="Arial"/>
      <family val="2"/>
      <charset val="238"/>
    </font>
    <font>
      <sz val="9"/>
      <color theme="0"/>
      <name val="Arial"/>
      <family val="2"/>
      <charset val="238"/>
    </font>
    <font>
      <sz val="14"/>
      <name val="Wingdings"/>
      <charset val="2"/>
    </font>
    <font>
      <i/>
      <sz val="10"/>
      <color theme="1"/>
      <name val="Arial"/>
      <family val="2"/>
      <charset val="238"/>
    </font>
    <font>
      <i/>
      <sz val="10"/>
      <name val="Arial"/>
      <family val="2"/>
    </font>
    <font>
      <i/>
      <sz val="10"/>
      <name val="Arial"/>
      <family val="2"/>
      <charset val="238"/>
    </font>
    <font>
      <i/>
      <sz val="9"/>
      <name val="Arial"/>
      <family val="2"/>
    </font>
    <font>
      <i/>
      <sz val="10"/>
      <color theme="0"/>
      <name val="Arial"/>
      <family val="2"/>
      <charset val="238"/>
    </font>
    <font>
      <b/>
      <i/>
      <sz val="10"/>
      <color theme="0"/>
      <name val="Arial"/>
      <family val="2"/>
      <charset val="238"/>
    </font>
    <font>
      <b/>
      <sz val="11"/>
      <color theme="1"/>
      <name val="Arial"/>
      <family val="2"/>
      <charset val="238"/>
    </font>
    <font>
      <sz val="10"/>
      <color rgb="FFFF0000"/>
      <name val="Arial"/>
      <family val="2"/>
      <charset val="238"/>
    </font>
    <font>
      <b/>
      <sz val="18"/>
      <color rgb="FFFF0000"/>
      <name val="Arial"/>
      <family val="2"/>
      <charset val="238"/>
    </font>
    <font>
      <sz val="12"/>
      <color theme="1"/>
      <name val="Arial"/>
      <family val="2"/>
      <charset val="238"/>
    </font>
    <font>
      <b/>
      <i/>
      <sz val="10"/>
      <name val="Arial"/>
      <family val="2"/>
    </font>
    <font>
      <sz val="10"/>
      <name val="Arial Narrow"/>
      <family val="2"/>
    </font>
    <font>
      <b/>
      <sz val="14"/>
      <color rgb="FFFF0000"/>
      <name val="Arial"/>
      <family val="2"/>
      <charset val="238"/>
    </font>
    <font>
      <b/>
      <sz val="16"/>
      <color rgb="FFFF0000"/>
      <name val="Arial"/>
      <family val="2"/>
      <charset val="238"/>
    </font>
    <font>
      <b/>
      <i/>
      <sz val="10"/>
      <name val="Arial"/>
      <family val="2"/>
      <charset val="238"/>
    </font>
    <font>
      <sz val="11"/>
      <color theme="1"/>
      <name val="Arial"/>
      <family val="2"/>
      <charset val="238"/>
    </font>
    <font>
      <b/>
      <sz val="10"/>
      <color rgb="FF00B050"/>
      <name val="Arial"/>
      <family val="2"/>
      <charset val="238"/>
    </font>
    <font>
      <b/>
      <sz val="14"/>
      <color theme="4"/>
      <name val="Arial"/>
      <family val="2"/>
      <charset val="238"/>
    </font>
    <font>
      <sz val="18"/>
      <color rgb="FF00B050"/>
      <name val="Wingdings"/>
      <charset val="2"/>
    </font>
    <font>
      <sz val="14"/>
      <color theme="4"/>
      <name val="Arial"/>
      <family val="2"/>
      <charset val="238"/>
    </font>
    <font>
      <sz val="14"/>
      <color theme="9"/>
      <name val="Times New Roman"/>
      <family val="1"/>
      <charset val="238"/>
    </font>
    <font>
      <sz val="14"/>
      <color theme="9"/>
      <name val="Arial"/>
      <family val="2"/>
      <charset val="238"/>
    </font>
    <font>
      <sz val="11"/>
      <name val="Arial"/>
      <family val="2"/>
    </font>
    <font>
      <b/>
      <sz val="11"/>
      <color theme="2"/>
      <name val="Arial"/>
      <family val="2"/>
    </font>
    <font>
      <sz val="11"/>
      <color theme="2"/>
      <name val="Arial"/>
      <family val="2"/>
    </font>
    <font>
      <b/>
      <sz val="14"/>
      <color theme="0"/>
      <name val="Arial"/>
      <family val="2"/>
    </font>
    <font>
      <b/>
      <sz val="11"/>
      <color theme="1"/>
      <name val="Arial"/>
      <family val="2"/>
    </font>
    <font>
      <b/>
      <sz val="19"/>
      <color rgb="FF002060"/>
      <name val="Arial"/>
      <family val="2"/>
    </font>
    <font>
      <sz val="10"/>
      <color rgb="FF002060"/>
      <name val="Arial"/>
      <family val="2"/>
    </font>
    <font>
      <b/>
      <sz val="11"/>
      <color theme="0"/>
      <name val="Arial"/>
      <family val="2"/>
    </font>
    <font>
      <b/>
      <sz val="16"/>
      <color rgb="FF002060"/>
      <name val="Arial"/>
      <family val="2"/>
      <charset val="238"/>
    </font>
    <font>
      <b/>
      <sz val="10"/>
      <color rgb="FF005426"/>
      <name val="Arial"/>
      <family val="2"/>
      <charset val="238"/>
    </font>
    <font>
      <b/>
      <sz val="10"/>
      <color rgb="FFC00000"/>
      <name val="Arial"/>
      <family val="2"/>
      <charset val="238"/>
    </font>
    <font>
      <b/>
      <sz val="18"/>
      <color rgb="FF000000"/>
      <name val="Arial"/>
      <family val="2"/>
    </font>
    <font>
      <b/>
      <sz val="18"/>
      <color theme="1"/>
      <name val="Calibri"/>
      <family val="2"/>
      <charset val="238"/>
      <scheme val="minor"/>
    </font>
    <font>
      <sz val="12"/>
      <color theme="1"/>
      <name val="Arial"/>
      <family val="2"/>
    </font>
    <font>
      <b/>
      <sz val="14"/>
      <color theme="3"/>
      <name val="Arial"/>
      <family val="2"/>
      <charset val="238"/>
    </font>
    <font>
      <b/>
      <sz val="14"/>
      <color rgb="FFFF0000"/>
      <name val="Arial"/>
      <family val="2"/>
    </font>
    <font>
      <sz val="12"/>
      <color rgb="FFFF0000"/>
      <name val="Arial"/>
      <family val="2"/>
    </font>
  </fonts>
  <fills count="23">
    <fill>
      <patternFill patternType="none"/>
    </fill>
    <fill>
      <patternFill patternType="gray125"/>
    </fill>
    <fill>
      <patternFill patternType="solid">
        <fgColor rgb="FF003F56"/>
        <bgColor indexed="64"/>
      </patternFill>
    </fill>
    <fill>
      <patternFill patternType="solid">
        <fgColor rgb="FFD6CBC2"/>
        <bgColor indexed="64"/>
      </patternFill>
    </fill>
    <fill>
      <patternFill patternType="solid">
        <fgColor rgb="FFFFFF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59999389629810485"/>
        <bgColor rgb="FF000000"/>
      </patternFill>
    </fill>
    <fill>
      <patternFill patternType="solid">
        <fgColor theme="0" tint="-4.9989318521683403E-2"/>
        <bgColor indexed="64"/>
      </patternFill>
    </fill>
    <fill>
      <patternFill patternType="solid">
        <fgColor theme="8" tint="0.59996337778862885"/>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8" tint="0.39997558519241921"/>
        <bgColor rgb="FF000000"/>
      </patternFill>
    </fill>
    <fill>
      <patternFill patternType="solid">
        <fgColor rgb="FFFF960C"/>
        <bgColor indexed="64"/>
      </patternFill>
    </fill>
    <fill>
      <patternFill patternType="solid">
        <fgColor rgb="FFFF0000"/>
        <bgColor indexed="64"/>
      </patternFill>
    </fill>
  </fills>
  <borders count="136">
    <border>
      <left/>
      <right/>
      <top/>
      <bottom/>
      <diagonal/>
    </border>
    <border>
      <left/>
      <right/>
      <top style="thin">
        <color indexed="64"/>
      </top>
      <bottom/>
      <diagonal/>
    </border>
    <border>
      <left/>
      <right style="thick">
        <color theme="9"/>
      </right>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style="thick">
        <color theme="9"/>
      </left>
      <right/>
      <top style="thick">
        <color theme="9"/>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dashed">
        <color rgb="FF002060"/>
      </bottom>
      <diagonal/>
    </border>
    <border>
      <left/>
      <right style="medium">
        <color rgb="FF002060"/>
      </right>
      <top style="medium">
        <color rgb="FF002060"/>
      </top>
      <bottom style="dashed">
        <color rgb="FF002060"/>
      </bottom>
      <diagonal/>
    </border>
    <border>
      <left style="medium">
        <color rgb="FF002060"/>
      </left>
      <right/>
      <top style="dashed">
        <color rgb="FF002060"/>
      </top>
      <bottom style="medium">
        <color rgb="FF002060"/>
      </bottom>
      <diagonal/>
    </border>
    <border>
      <left/>
      <right style="medium">
        <color rgb="FF002060"/>
      </right>
      <top style="dashed">
        <color rgb="FF002060"/>
      </top>
      <bottom style="medium">
        <color rgb="FF002060"/>
      </bottom>
      <diagonal/>
    </border>
    <border>
      <left style="medium">
        <color rgb="FF002060"/>
      </left>
      <right/>
      <top style="dashed">
        <color rgb="FF002060"/>
      </top>
      <bottom style="dashed">
        <color rgb="FF002060"/>
      </bottom>
      <diagonal/>
    </border>
    <border>
      <left/>
      <right style="medium">
        <color rgb="FF002060"/>
      </right>
      <top style="dashed">
        <color rgb="FF002060"/>
      </top>
      <bottom style="dashed">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thick">
        <color rgb="FF002060"/>
      </left>
      <right style="thick">
        <color rgb="FF002060"/>
      </right>
      <top style="thick">
        <color rgb="FF002060"/>
      </top>
      <bottom/>
      <diagonal/>
    </border>
    <border>
      <left style="thick">
        <color rgb="FF002060"/>
      </left>
      <right style="thick">
        <color rgb="FF002060"/>
      </right>
      <top/>
      <bottom style="thick">
        <color rgb="FF002060"/>
      </bottom>
      <diagonal/>
    </border>
    <border>
      <left/>
      <right style="thick">
        <color rgb="FF002060"/>
      </right>
      <top/>
      <bottom/>
      <diagonal/>
    </border>
    <border>
      <left style="thick">
        <color rgb="FF002060"/>
      </left>
      <right style="thick">
        <color rgb="FF002060"/>
      </right>
      <top/>
      <bottom/>
      <diagonal/>
    </border>
    <border>
      <left style="thick">
        <color rgb="FF002060"/>
      </left>
      <right/>
      <top style="thick">
        <color rgb="FF002060"/>
      </top>
      <bottom style="dashed">
        <color rgb="FF002060"/>
      </bottom>
      <diagonal/>
    </border>
    <border>
      <left/>
      <right/>
      <top style="thick">
        <color rgb="FF002060"/>
      </top>
      <bottom style="dashed">
        <color rgb="FF002060"/>
      </bottom>
      <diagonal/>
    </border>
    <border>
      <left/>
      <right style="thick">
        <color rgb="FF002060"/>
      </right>
      <top style="thick">
        <color rgb="FF002060"/>
      </top>
      <bottom style="dashed">
        <color rgb="FF002060"/>
      </bottom>
      <diagonal/>
    </border>
    <border>
      <left style="thick">
        <color rgb="FF002060"/>
      </left>
      <right/>
      <top/>
      <bottom/>
      <diagonal/>
    </border>
    <border>
      <left style="mediumDashed">
        <color rgb="FF002060"/>
      </left>
      <right/>
      <top/>
      <bottom/>
      <diagonal/>
    </border>
    <border>
      <left/>
      <right style="mediumDashed">
        <color rgb="FF002060"/>
      </right>
      <top/>
      <bottom/>
      <diagonal/>
    </border>
    <border>
      <left style="thick">
        <color rgb="FF002060"/>
      </left>
      <right/>
      <top style="dashed">
        <color rgb="FF002060"/>
      </top>
      <bottom/>
      <diagonal/>
    </border>
    <border>
      <left/>
      <right/>
      <top style="dashed">
        <color rgb="FF002060"/>
      </top>
      <bottom/>
      <diagonal/>
    </border>
    <border>
      <left style="mediumDashed">
        <color rgb="FF002060"/>
      </left>
      <right/>
      <top style="dashed">
        <color rgb="FF002060"/>
      </top>
      <bottom/>
      <diagonal/>
    </border>
    <border>
      <left/>
      <right style="mediumDashed">
        <color rgb="FF002060"/>
      </right>
      <top style="dashed">
        <color rgb="FF002060"/>
      </top>
      <bottom/>
      <diagonal/>
    </border>
    <border>
      <left/>
      <right style="thick">
        <color rgb="FF002060"/>
      </right>
      <top style="dashed">
        <color rgb="FF002060"/>
      </top>
      <bottom/>
      <diagonal/>
    </border>
    <border>
      <left style="thick">
        <color rgb="FF002060"/>
      </left>
      <right/>
      <top/>
      <bottom style="dashed">
        <color rgb="FF002060"/>
      </bottom>
      <diagonal/>
    </border>
    <border>
      <left/>
      <right/>
      <top/>
      <bottom style="dashed">
        <color rgb="FF002060"/>
      </bottom>
      <diagonal/>
    </border>
    <border>
      <left style="medium">
        <color rgb="FF002060"/>
      </left>
      <right/>
      <top/>
      <bottom/>
      <diagonal/>
    </border>
    <border>
      <left style="thick">
        <color rgb="FF002060"/>
      </left>
      <right/>
      <top style="dashed">
        <color rgb="FF002060"/>
      </top>
      <bottom style="dashed">
        <color rgb="FF002060"/>
      </bottom>
      <diagonal/>
    </border>
    <border>
      <left/>
      <right/>
      <top style="dashed">
        <color rgb="FF002060"/>
      </top>
      <bottom style="dashed">
        <color rgb="FF002060"/>
      </bottom>
      <diagonal/>
    </border>
    <border>
      <left style="mediumDashed">
        <color rgb="FF002060"/>
      </left>
      <right/>
      <top style="dashed">
        <color rgb="FF002060"/>
      </top>
      <bottom style="dashed">
        <color rgb="FF002060"/>
      </bottom>
      <diagonal/>
    </border>
    <border>
      <left/>
      <right style="mediumDashed">
        <color rgb="FF002060"/>
      </right>
      <top style="dashed">
        <color rgb="FF002060"/>
      </top>
      <bottom style="dashed">
        <color rgb="FF002060"/>
      </bottom>
      <diagonal/>
    </border>
    <border>
      <left/>
      <right style="thick">
        <color rgb="FF002060"/>
      </right>
      <top style="dashed">
        <color rgb="FF002060"/>
      </top>
      <bottom style="dashed">
        <color rgb="FF002060"/>
      </bottom>
      <diagonal/>
    </border>
    <border>
      <left/>
      <right style="mediumDashed">
        <color rgb="FF002060"/>
      </right>
      <top style="dashed">
        <color rgb="FF002060"/>
      </top>
      <bottom style="thick">
        <color rgb="FF002060"/>
      </bottom>
      <diagonal/>
    </border>
    <border>
      <left style="thick">
        <color rgb="FF002060"/>
      </left>
      <right/>
      <top style="dashed">
        <color rgb="FF002060"/>
      </top>
      <bottom style="thick">
        <color rgb="FF002060"/>
      </bottom>
      <diagonal/>
    </border>
    <border>
      <left/>
      <right/>
      <top style="dashed">
        <color rgb="FF002060"/>
      </top>
      <bottom style="thick">
        <color rgb="FF002060"/>
      </bottom>
      <diagonal/>
    </border>
    <border>
      <left style="mediumDashed">
        <color rgb="FF002060"/>
      </left>
      <right/>
      <top style="dashed">
        <color rgb="FF002060"/>
      </top>
      <bottom style="thick">
        <color rgb="FF002060"/>
      </bottom>
      <diagonal/>
    </border>
    <border>
      <left/>
      <right style="thick">
        <color rgb="FF002060"/>
      </right>
      <top style="dashed">
        <color rgb="FF002060"/>
      </top>
      <bottom style="thick">
        <color rgb="FF002060"/>
      </bottom>
      <diagonal/>
    </border>
    <border>
      <left style="thick">
        <color rgb="FF002060"/>
      </left>
      <right style="thick">
        <color rgb="FF002060"/>
      </right>
      <top style="thick">
        <color rgb="FF002060"/>
      </top>
      <bottom style="thick">
        <color rgb="FF002060"/>
      </bottom>
      <diagonal/>
    </border>
    <border>
      <left style="medium">
        <color rgb="FF002060"/>
      </left>
      <right/>
      <top style="dashed">
        <color rgb="FF002060"/>
      </top>
      <bottom/>
      <diagonal/>
    </border>
    <border>
      <left/>
      <right style="medium">
        <color rgb="FF002060"/>
      </right>
      <top style="dashed">
        <color rgb="FF002060"/>
      </top>
      <bottom/>
      <diagonal/>
    </border>
    <border>
      <left/>
      <right/>
      <top style="medium">
        <color rgb="FF002060"/>
      </top>
      <bottom style="medium">
        <color rgb="FF002060"/>
      </bottom>
      <diagonal/>
    </border>
    <border>
      <left/>
      <right style="medium">
        <color rgb="FF002060"/>
      </right>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thick">
        <color rgb="FF002060"/>
      </left>
      <right/>
      <top/>
      <bottom style="medium">
        <color rgb="FF002060"/>
      </bottom>
      <diagonal/>
    </border>
    <border>
      <left/>
      <right/>
      <top style="medium">
        <color rgb="FF002060"/>
      </top>
      <bottom/>
      <diagonal/>
    </border>
    <border>
      <left style="mediumDashed">
        <color rgb="FF002060"/>
      </left>
      <right/>
      <top style="medium">
        <color rgb="FF002060"/>
      </top>
      <bottom/>
      <diagonal/>
    </border>
    <border>
      <left/>
      <right style="mediumDashed">
        <color rgb="FF002060"/>
      </right>
      <top style="medium">
        <color rgb="FF002060"/>
      </top>
      <bottom/>
      <diagonal/>
    </border>
    <border>
      <left/>
      <right style="thick">
        <color rgb="FF002060"/>
      </right>
      <top style="medium">
        <color rgb="FF002060"/>
      </top>
      <bottom/>
      <diagonal/>
    </border>
    <border>
      <left style="thick">
        <color rgb="FF002060"/>
      </left>
      <right/>
      <top style="medium">
        <color rgb="FF002060"/>
      </top>
      <bottom style="dashed">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thick">
        <color rgb="FF002060"/>
      </left>
      <right/>
      <top style="dotted">
        <color rgb="FF002060"/>
      </top>
      <bottom style="thick">
        <color rgb="FF002060"/>
      </bottom>
      <diagonal/>
    </border>
    <border>
      <left/>
      <right/>
      <top style="dotted">
        <color rgb="FF002060"/>
      </top>
      <bottom style="thick">
        <color rgb="FF002060"/>
      </bottom>
      <diagonal/>
    </border>
    <border>
      <left/>
      <right style="thick">
        <color rgb="FF002060"/>
      </right>
      <top style="dotted">
        <color rgb="FF002060"/>
      </top>
      <bottom style="thick">
        <color rgb="FF002060"/>
      </bottom>
      <diagonal/>
    </border>
    <border>
      <left/>
      <right/>
      <top/>
      <bottom style="dotted">
        <color rgb="FF002060"/>
      </bottom>
      <diagonal/>
    </border>
    <border>
      <left/>
      <right style="thick">
        <color rgb="FF002060"/>
      </right>
      <top/>
      <bottom style="dotted">
        <color rgb="FF002060"/>
      </bottom>
      <diagonal/>
    </border>
    <border>
      <left style="thick">
        <color rgb="FF002060"/>
      </left>
      <right/>
      <top/>
      <bottom style="dotted">
        <color rgb="FF002060"/>
      </bottom>
      <diagonal/>
    </border>
    <border>
      <left/>
      <right style="mediumDashed">
        <color rgb="FF002060"/>
      </right>
      <top style="dashed">
        <color rgb="FF002060"/>
      </top>
      <bottom style="medium">
        <color rgb="FF002060"/>
      </bottom>
      <diagonal/>
    </border>
    <border>
      <left style="thick">
        <color rgb="FF002060"/>
      </left>
      <right/>
      <top style="medium">
        <color rgb="FF002060"/>
      </top>
      <bottom/>
      <diagonal/>
    </border>
    <border>
      <left/>
      <right style="thick">
        <color rgb="FF002060"/>
      </right>
      <top style="thick">
        <color rgb="FF002060"/>
      </top>
      <bottom style="dotted">
        <color rgb="FF002060"/>
      </bottom>
      <diagonal/>
    </border>
    <border>
      <left/>
      <right/>
      <top style="medium">
        <color rgb="FF002060"/>
      </top>
      <bottom style="dashed">
        <color rgb="FF002060"/>
      </bottom>
      <diagonal/>
    </border>
    <border>
      <left/>
      <right/>
      <top style="dashed">
        <color rgb="FF002060"/>
      </top>
      <bottom style="medium">
        <color rgb="FF002060"/>
      </bottom>
      <diagonal/>
    </border>
    <border>
      <left/>
      <right style="medium">
        <color rgb="FF002060"/>
      </right>
      <top/>
      <bottom style="dashed">
        <color rgb="FF002060"/>
      </bottom>
      <diagonal/>
    </border>
    <border>
      <left/>
      <right style="thick">
        <color rgb="FF002060"/>
      </right>
      <top style="medium">
        <color rgb="FF002060"/>
      </top>
      <bottom style="dashed">
        <color rgb="FF002060"/>
      </bottom>
      <diagonal/>
    </border>
    <border>
      <left style="thick">
        <color rgb="FF002060"/>
      </left>
      <right/>
      <top style="dashed">
        <color rgb="FF002060"/>
      </top>
      <bottom style="medium">
        <color rgb="FF002060"/>
      </bottom>
      <diagonal/>
    </border>
    <border>
      <left/>
      <right style="thick">
        <color rgb="FF002060"/>
      </right>
      <top style="dashed">
        <color rgb="FF002060"/>
      </top>
      <bottom style="medium">
        <color rgb="FF002060"/>
      </bottom>
      <diagonal/>
    </border>
    <border>
      <left style="thick">
        <color rgb="FF002060"/>
      </left>
      <right/>
      <top style="thick">
        <color rgb="FF002060"/>
      </top>
      <bottom style="dotted">
        <color rgb="FF002060"/>
      </bottom>
      <diagonal/>
    </border>
    <border>
      <left/>
      <right style="thick">
        <color rgb="FF003F56"/>
      </right>
      <top style="thick">
        <color rgb="FF003F56"/>
      </top>
      <bottom style="thick">
        <color rgb="FF003F56"/>
      </bottom>
      <diagonal/>
    </border>
    <border>
      <left style="thick">
        <color rgb="FF003F56"/>
      </left>
      <right/>
      <top style="thick">
        <color rgb="FF003F56"/>
      </top>
      <bottom style="dotted">
        <color rgb="FF003F56"/>
      </bottom>
      <diagonal/>
    </border>
    <border>
      <left style="thick">
        <color rgb="FF003F56"/>
      </left>
      <right/>
      <top style="dotted">
        <color rgb="FF003F56"/>
      </top>
      <bottom style="dotted">
        <color rgb="FF003F56"/>
      </bottom>
      <diagonal/>
    </border>
    <border>
      <left style="thick">
        <color rgb="FF003F56"/>
      </left>
      <right/>
      <top style="dotted">
        <color rgb="FF003F56"/>
      </top>
      <bottom style="thick">
        <color rgb="FF003F56"/>
      </bottom>
      <diagonal/>
    </border>
    <border>
      <left/>
      <right/>
      <top style="thick">
        <color rgb="FF003F56"/>
      </top>
      <bottom style="dotted">
        <color rgb="FF256885"/>
      </bottom>
      <diagonal/>
    </border>
    <border>
      <left/>
      <right style="thick">
        <color rgb="FF003F56"/>
      </right>
      <top style="thick">
        <color rgb="FF003F56"/>
      </top>
      <bottom style="dotted">
        <color rgb="FF256885"/>
      </bottom>
      <diagonal/>
    </border>
    <border>
      <left/>
      <right/>
      <top style="dotted">
        <color rgb="FF256885"/>
      </top>
      <bottom style="dotted">
        <color rgb="FF256885"/>
      </bottom>
      <diagonal/>
    </border>
    <border>
      <left/>
      <right style="thick">
        <color rgb="FF003F56"/>
      </right>
      <top style="dotted">
        <color rgb="FF256885"/>
      </top>
      <bottom style="dotted">
        <color rgb="FF256885"/>
      </bottom>
      <diagonal/>
    </border>
    <border>
      <left/>
      <right/>
      <top style="dotted">
        <color rgb="FF256885"/>
      </top>
      <bottom style="thick">
        <color rgb="FF003F56"/>
      </bottom>
      <diagonal/>
    </border>
    <border>
      <left/>
      <right style="thick">
        <color rgb="FF003F56"/>
      </right>
      <top style="dotted">
        <color rgb="FF256885"/>
      </top>
      <bottom style="thick">
        <color rgb="FF003F56"/>
      </bottom>
      <diagonal/>
    </border>
    <border>
      <left style="thick">
        <color rgb="FF003F56"/>
      </left>
      <right/>
      <top/>
      <bottom style="dotted">
        <color rgb="FF003F56"/>
      </bottom>
      <diagonal/>
    </border>
    <border>
      <left style="thick">
        <color rgb="FF003F56"/>
      </left>
      <right/>
      <top style="thick">
        <color rgb="FF003F56"/>
      </top>
      <bottom style="thick">
        <color rgb="FF003F56"/>
      </bottom>
      <diagonal/>
    </border>
    <border>
      <left/>
      <right/>
      <top/>
      <bottom style="dotted">
        <color rgb="FF256885"/>
      </bottom>
      <diagonal/>
    </border>
    <border>
      <left/>
      <right style="thick">
        <color rgb="FF002060"/>
      </right>
      <top/>
      <bottom style="dotted">
        <color rgb="FF256885"/>
      </bottom>
      <diagonal/>
    </border>
    <border>
      <left/>
      <right/>
      <top style="dotted">
        <color rgb="FF256885"/>
      </top>
      <bottom style="thick">
        <color rgb="FF002060"/>
      </bottom>
      <diagonal/>
    </border>
    <border>
      <left/>
      <right style="thick">
        <color rgb="FF002060"/>
      </right>
      <top style="dotted">
        <color rgb="FF256885"/>
      </top>
      <bottom style="thick">
        <color rgb="FF002060"/>
      </bottom>
      <diagonal/>
    </border>
    <border>
      <left style="medium">
        <color rgb="FF002060"/>
      </left>
      <right/>
      <top/>
      <bottom style="dashed">
        <color rgb="FF002060"/>
      </bottom>
      <diagonal/>
    </border>
    <border>
      <left/>
      <right/>
      <top/>
      <bottom style="medium">
        <color rgb="FF002060"/>
      </bottom>
      <diagonal/>
    </border>
    <border>
      <left style="thick">
        <color rgb="FF002060"/>
      </left>
      <right/>
      <top style="medium">
        <color rgb="FF002060"/>
      </top>
      <bottom style="medium">
        <color rgb="FF002060"/>
      </bottom>
      <diagonal/>
    </border>
    <border>
      <left style="thick">
        <color rgb="FF002060"/>
      </left>
      <right/>
      <top style="thick">
        <color rgb="FF002060"/>
      </top>
      <bottom style="thin">
        <color rgb="FF002060"/>
      </bottom>
      <diagonal/>
    </border>
    <border>
      <left/>
      <right/>
      <top style="thick">
        <color rgb="FF002060"/>
      </top>
      <bottom style="thin">
        <color rgb="FF002060"/>
      </bottom>
      <diagonal/>
    </border>
    <border>
      <left style="mediumDashed">
        <color rgb="FF002060"/>
      </left>
      <right/>
      <top style="thick">
        <color rgb="FF002060"/>
      </top>
      <bottom style="thin">
        <color rgb="FF002060"/>
      </bottom>
      <diagonal/>
    </border>
    <border>
      <left/>
      <right style="thick">
        <color rgb="FF002060"/>
      </right>
      <top style="thick">
        <color rgb="FF002060"/>
      </top>
      <bottom style="thin">
        <color rgb="FF002060"/>
      </bottom>
      <diagonal/>
    </border>
    <border>
      <left style="thick">
        <color rgb="FF002060"/>
      </left>
      <right/>
      <top style="thin">
        <color rgb="FF002060"/>
      </top>
      <bottom style="thin">
        <color rgb="FF002060"/>
      </bottom>
      <diagonal/>
    </border>
    <border>
      <left/>
      <right/>
      <top style="thin">
        <color rgb="FF002060"/>
      </top>
      <bottom style="thin">
        <color rgb="FF002060"/>
      </bottom>
      <diagonal/>
    </border>
    <border>
      <left style="mediumDashed">
        <color rgb="FF002060"/>
      </left>
      <right/>
      <top style="thin">
        <color rgb="FF002060"/>
      </top>
      <bottom style="thin">
        <color rgb="FF002060"/>
      </bottom>
      <diagonal/>
    </border>
    <border>
      <left/>
      <right style="mediumDashed">
        <color rgb="FF002060"/>
      </right>
      <top style="thin">
        <color rgb="FF002060"/>
      </top>
      <bottom style="thin">
        <color rgb="FF002060"/>
      </bottom>
      <diagonal/>
    </border>
    <border>
      <left/>
      <right style="thick">
        <color rgb="FF002060"/>
      </right>
      <top style="thin">
        <color rgb="FF002060"/>
      </top>
      <bottom style="thin">
        <color rgb="FF002060"/>
      </bottom>
      <diagonal/>
    </border>
    <border>
      <left style="thick">
        <color rgb="FF002060"/>
      </left>
      <right/>
      <top style="thin">
        <color rgb="FF002060"/>
      </top>
      <bottom style="dashed">
        <color rgb="FF002060"/>
      </bottom>
      <diagonal/>
    </border>
    <border>
      <left/>
      <right/>
      <top style="thin">
        <color rgb="FF002060"/>
      </top>
      <bottom style="dashed">
        <color rgb="FF002060"/>
      </bottom>
      <diagonal/>
    </border>
    <border>
      <left style="mediumDashed">
        <color rgb="FF002060"/>
      </left>
      <right/>
      <top style="thin">
        <color rgb="FF002060"/>
      </top>
      <bottom style="dashed">
        <color rgb="FF002060"/>
      </bottom>
      <diagonal/>
    </border>
    <border>
      <left/>
      <right/>
      <top style="thin">
        <color rgb="FF002060"/>
      </top>
      <bottom/>
      <diagonal/>
    </border>
    <border>
      <left/>
      <right style="thick">
        <color rgb="FF002060"/>
      </right>
      <top style="thin">
        <color rgb="FF002060"/>
      </top>
      <bottom style="dashed">
        <color rgb="FF002060"/>
      </bottom>
      <diagonal/>
    </border>
    <border>
      <left style="thick">
        <color rgb="FF002060"/>
      </left>
      <right/>
      <top style="medium">
        <color rgb="FF002060"/>
      </top>
      <bottom style="thin">
        <color rgb="FF002060"/>
      </bottom>
      <diagonal/>
    </border>
    <border>
      <left/>
      <right/>
      <top style="medium">
        <color rgb="FF002060"/>
      </top>
      <bottom style="thin">
        <color rgb="FF002060"/>
      </bottom>
      <diagonal/>
    </border>
    <border>
      <left style="mediumDashed">
        <color rgb="FF002060"/>
      </left>
      <right/>
      <top style="medium">
        <color rgb="FF002060"/>
      </top>
      <bottom style="thin">
        <color rgb="FF002060"/>
      </bottom>
      <diagonal/>
    </border>
    <border>
      <left/>
      <right style="thick">
        <color rgb="FF002060"/>
      </right>
      <top style="medium">
        <color rgb="FF002060"/>
      </top>
      <bottom style="thin">
        <color rgb="FF002060"/>
      </bottom>
      <diagonal/>
    </border>
    <border>
      <left/>
      <right/>
      <top style="dashed">
        <color auto="1"/>
      </top>
      <bottom/>
      <diagonal/>
    </border>
    <border>
      <left style="mediumDashed">
        <color rgb="FF002060"/>
      </left>
      <right/>
      <top style="thin">
        <color rgb="FF002060"/>
      </top>
      <bottom/>
      <diagonal/>
    </border>
    <border>
      <left/>
      <right style="thick">
        <color rgb="FF002060"/>
      </right>
      <top style="thin">
        <color rgb="FF002060"/>
      </top>
      <bottom/>
      <diagonal/>
    </border>
    <border>
      <left style="mediumDashed">
        <color rgb="FF002060"/>
      </left>
      <right/>
      <top style="dashed">
        <color rgb="FF002060"/>
      </top>
      <bottom style="medium">
        <color rgb="FF002060"/>
      </bottom>
      <diagonal/>
    </border>
    <border>
      <left/>
      <right style="mediumDashed">
        <color rgb="FF002060"/>
      </right>
      <top style="thin">
        <color rgb="FF002060"/>
      </top>
      <bottom/>
      <diagonal/>
    </border>
    <border>
      <left/>
      <right style="mediumDashed">
        <color rgb="FF002060"/>
      </right>
      <top style="thin">
        <color rgb="FF002060"/>
      </top>
      <bottom style="dashed">
        <color rgb="FF002060"/>
      </bottom>
      <diagonal/>
    </border>
    <border>
      <left/>
      <right style="mediumDashed">
        <color rgb="FF002060"/>
      </right>
      <top/>
      <bottom style="thick">
        <color rgb="FF002060"/>
      </bottom>
      <diagonal/>
    </border>
    <border>
      <left/>
      <right style="mediumDashed">
        <color rgb="FF002060"/>
      </right>
      <top style="dotted">
        <color rgb="FF002060"/>
      </top>
      <bottom style="dotted">
        <color rgb="FF002060"/>
      </bottom>
      <diagonal/>
    </border>
    <border>
      <left/>
      <right style="mediumDashed">
        <color rgb="FF002060"/>
      </right>
      <top/>
      <bottom style="dashed">
        <color rgb="FF002060"/>
      </bottom>
      <diagonal/>
    </border>
    <border>
      <left/>
      <right style="mediumDashDot">
        <color rgb="FF002060"/>
      </right>
      <top style="dashed">
        <color rgb="FF002060"/>
      </top>
      <bottom style="medium">
        <color rgb="FF002060"/>
      </bottom>
      <diagonal/>
    </border>
  </borders>
  <cellStyleXfs count="54">
    <xf numFmtId="0" fontId="0" fillId="0" borderId="0"/>
    <xf numFmtId="0" fontId="23" fillId="0" borderId="0"/>
    <xf numFmtId="0" fontId="21" fillId="0" borderId="0"/>
    <xf numFmtId="0" fontId="21" fillId="0" borderId="0"/>
    <xf numFmtId="165" fontId="25" fillId="0" borderId="0" applyFont="0" applyFill="0" applyBorder="0" applyAlignment="0" applyProtection="0"/>
    <xf numFmtId="0" fontId="27" fillId="0" borderId="0"/>
    <xf numFmtId="0" fontId="21" fillId="0" borderId="0"/>
    <xf numFmtId="0" fontId="28" fillId="0" borderId="0"/>
    <xf numFmtId="0" fontId="28" fillId="0" borderId="0"/>
    <xf numFmtId="0" fontId="23" fillId="0" borderId="0"/>
    <xf numFmtId="165" fontId="24" fillId="0" borderId="0" applyFont="0" applyFill="0" applyBorder="0" applyAlignment="0" applyProtection="0"/>
    <xf numFmtId="0" fontId="29" fillId="0" borderId="0"/>
    <xf numFmtId="0" fontId="29" fillId="0" borderId="0"/>
    <xf numFmtId="0" fontId="29" fillId="0" borderId="0"/>
    <xf numFmtId="0" fontId="24" fillId="0" borderId="0"/>
    <xf numFmtId="164" fontId="21" fillId="0" borderId="0" applyFont="0" applyFill="0" applyBorder="0" applyAlignment="0" applyProtection="0"/>
    <xf numFmtId="9" fontId="21" fillId="0" borderId="0" applyFont="0" applyFill="0" applyBorder="0" applyAlignment="0" applyProtection="0"/>
    <xf numFmtId="0" fontId="33" fillId="0" borderId="0"/>
    <xf numFmtId="9" fontId="23" fillId="0" borderId="0" applyFont="0" applyFill="0" applyBorder="0" applyAlignment="0" applyProtection="0"/>
    <xf numFmtId="0" fontId="21" fillId="0" borderId="0"/>
    <xf numFmtId="164" fontId="23" fillId="0" borderId="0" applyFont="0" applyFill="0" applyBorder="0" applyAlignment="0" applyProtection="0"/>
    <xf numFmtId="0" fontId="23" fillId="0" borderId="0"/>
    <xf numFmtId="0" fontId="24" fillId="0" borderId="0"/>
    <xf numFmtId="0" fontId="24" fillId="0" borderId="0"/>
    <xf numFmtId="165" fontId="29" fillId="0" borderId="0" applyFont="0" applyFill="0" applyBorder="0" applyAlignment="0" applyProtection="0"/>
    <xf numFmtId="0" fontId="21" fillId="0" borderId="0"/>
    <xf numFmtId="0" fontId="21" fillId="0" borderId="0"/>
    <xf numFmtId="0" fontId="23" fillId="0" borderId="0"/>
    <xf numFmtId="0" fontId="21" fillId="0" borderId="0"/>
    <xf numFmtId="0" fontId="19" fillId="0" borderId="0"/>
    <xf numFmtId="9" fontId="25" fillId="0" borderId="0" applyFont="0" applyFill="0" applyBorder="0" applyAlignment="0" applyProtection="0"/>
    <xf numFmtId="165" fontId="75" fillId="0" borderId="0" applyFont="0" applyFill="0" applyBorder="0" applyAlignment="0" applyProtection="0"/>
    <xf numFmtId="0" fontId="76" fillId="0" borderId="0">
      <alignment vertical="top" wrapText="1"/>
    </xf>
    <xf numFmtId="0" fontId="76" fillId="0" borderId="0">
      <alignment vertical="top" wrapText="1"/>
    </xf>
    <xf numFmtId="0" fontId="12" fillId="0" borderId="0"/>
    <xf numFmtId="0" fontId="24" fillId="0" borderId="0"/>
    <xf numFmtId="0" fontId="21" fillId="0" borderId="0"/>
    <xf numFmtId="0" fontId="12" fillId="0" borderId="0"/>
    <xf numFmtId="164" fontId="23" fillId="0" borderId="0" applyFont="0" applyFill="0" applyBorder="0" applyAlignment="0" applyProtection="0"/>
    <xf numFmtId="164" fontId="23" fillId="0" borderId="0" applyFont="0" applyFill="0" applyBorder="0" applyAlignment="0" applyProtection="0"/>
    <xf numFmtId="0" fontId="24" fillId="0" borderId="0"/>
    <xf numFmtId="9" fontId="24" fillId="0" borderId="0" applyFont="0" applyFill="0" applyBorder="0" applyAlignment="0" applyProtection="0"/>
    <xf numFmtId="0" fontId="23" fillId="0" borderId="0"/>
    <xf numFmtId="0" fontId="24" fillId="0" borderId="0"/>
    <xf numFmtId="0" fontId="24" fillId="0" borderId="0"/>
    <xf numFmtId="0" fontId="23" fillId="0" borderId="0"/>
    <xf numFmtId="0" fontId="9" fillId="0" borderId="0"/>
    <xf numFmtId="0" fontId="9" fillId="0" borderId="0"/>
    <xf numFmtId="0" fontId="9" fillId="0" borderId="0"/>
    <xf numFmtId="0" fontId="6" fillId="0" borderId="0"/>
    <xf numFmtId="0" fontId="5" fillId="0" borderId="0"/>
    <xf numFmtId="164" fontId="21" fillId="0" borderId="0" applyFont="0" applyFill="0" applyBorder="0" applyAlignment="0" applyProtection="0"/>
    <xf numFmtId="0" fontId="21" fillId="0" borderId="0"/>
    <xf numFmtId="166" fontId="23" fillId="0" borderId="0" applyFont="0" applyFill="0" applyBorder="0" applyAlignment="0" applyProtection="0"/>
  </cellStyleXfs>
  <cellXfs count="919">
    <xf numFmtId="0" fontId="0" fillId="0" borderId="0" xfId="0"/>
    <xf numFmtId="0" fontId="0" fillId="0" borderId="0" xfId="0" applyFill="1"/>
    <xf numFmtId="0" fontId="0" fillId="0" borderId="0" xfId="0" applyBorder="1"/>
    <xf numFmtId="0" fontId="0" fillId="0" borderId="0" xfId="0"/>
    <xf numFmtId="0" fontId="0" fillId="2" borderId="0" xfId="0" applyFill="1"/>
    <xf numFmtId="0" fontId="0" fillId="2" borderId="0" xfId="0" applyFill="1" applyProtection="1"/>
    <xf numFmtId="0" fontId="0" fillId="2" borderId="0" xfId="0" applyFill="1" applyBorder="1" applyProtection="1"/>
    <xf numFmtId="0" fontId="0" fillId="0" borderId="0" xfId="0" applyProtection="1"/>
    <xf numFmtId="0" fontId="0" fillId="0" borderId="0" xfId="0" applyBorder="1" applyProtection="1"/>
    <xf numFmtId="0" fontId="0" fillId="0" borderId="0" xfId="0"/>
    <xf numFmtId="0" fontId="30" fillId="0" borderId="0" xfId="0" applyFont="1" applyFill="1"/>
    <xf numFmtId="0" fontId="0" fillId="2" borderId="2" xfId="0" applyFill="1" applyBorder="1" applyProtection="1"/>
    <xf numFmtId="0" fontId="0" fillId="2" borderId="4" xfId="0" applyFill="1" applyBorder="1" applyProtection="1"/>
    <xf numFmtId="0" fontId="0" fillId="2" borderId="3" xfId="0" applyFill="1" applyBorder="1" applyProtection="1"/>
    <xf numFmtId="0" fontId="0" fillId="2" borderId="3" xfId="0" applyFill="1" applyBorder="1"/>
    <xf numFmtId="0" fontId="0" fillId="2" borderId="5" xfId="0" applyFill="1" applyBorder="1"/>
    <xf numFmtId="0" fontId="0" fillId="2" borderId="6" xfId="0" applyFill="1" applyBorder="1"/>
    <xf numFmtId="0" fontId="30" fillId="2" borderId="0" xfId="0" applyFont="1" applyFill="1"/>
    <xf numFmtId="0" fontId="30" fillId="2" borderId="3" xfId="0" applyFont="1" applyFill="1" applyBorder="1"/>
    <xf numFmtId="1" fontId="0" fillId="0" borderId="0" xfId="0" applyNumberFormat="1" applyFill="1" applyBorder="1" applyAlignment="1" applyProtection="1">
      <alignment horizontal="center" vertical="center"/>
    </xf>
    <xf numFmtId="3" fontId="26" fillId="0" borderId="0" xfId="0" applyNumberFormat="1" applyFont="1" applyBorder="1" applyAlignment="1" applyProtection="1">
      <alignment horizontal="center" vertical="center"/>
    </xf>
    <xf numFmtId="0" fontId="26" fillId="0" borderId="0" xfId="0" applyFont="1" applyBorder="1" applyProtection="1"/>
    <xf numFmtId="0" fontId="33" fillId="0" borderId="0" xfId="17" applyFont="1"/>
    <xf numFmtId="0" fontId="0" fillId="2" borderId="2" xfId="0" applyFill="1" applyBorder="1" applyAlignment="1" applyProtection="1">
      <alignment vertical="center"/>
    </xf>
    <xf numFmtId="0" fontId="0" fillId="2" borderId="0" xfId="0" applyFill="1" applyAlignment="1" applyProtection="1">
      <alignment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 fontId="0" fillId="0" borderId="0" xfId="0" applyNumberFormat="1" applyFill="1" applyBorder="1" applyAlignment="1" applyProtection="1">
      <alignment horizontal="center"/>
    </xf>
    <xf numFmtId="0" fontId="0" fillId="0" borderId="0" xfId="0" applyAlignment="1">
      <alignment vertical="center"/>
    </xf>
    <xf numFmtId="3" fontId="35" fillId="0" borderId="0" xfId="0" applyNumberFormat="1" applyFont="1" applyBorder="1" applyAlignment="1" applyProtection="1">
      <alignment horizontal="center" vertical="center"/>
    </xf>
    <xf numFmtId="0" fontId="39" fillId="0" borderId="0" xfId="0" applyFont="1" applyAlignment="1">
      <alignment vertical="center"/>
    </xf>
    <xf numFmtId="168" fontId="38" fillId="0" borderId="0" xfId="0" applyNumberFormat="1" applyFont="1" applyFill="1" applyBorder="1" applyAlignment="1" applyProtection="1">
      <alignment horizontal="center" vertical="center"/>
    </xf>
    <xf numFmtId="0" fontId="41" fillId="2" borderId="2" xfId="0" applyFont="1" applyFill="1" applyBorder="1" applyAlignment="1" applyProtection="1">
      <alignment vertical="center"/>
    </xf>
    <xf numFmtId="0" fontId="41" fillId="2" borderId="0" xfId="0" applyFont="1" applyFill="1" applyAlignment="1" applyProtection="1">
      <alignment vertical="center"/>
    </xf>
    <xf numFmtId="0" fontId="41" fillId="0" borderId="0" xfId="0" applyFont="1" applyAlignment="1">
      <alignment vertical="center"/>
    </xf>
    <xf numFmtId="3" fontId="42" fillId="0" borderId="0" xfId="0" applyNumberFormat="1" applyFont="1" applyBorder="1" applyAlignment="1" applyProtection="1">
      <alignment horizontal="center" vertical="center"/>
    </xf>
    <xf numFmtId="0" fontId="22" fillId="0" borderId="0" xfId="0" applyFont="1" applyAlignment="1">
      <alignment vertical="center"/>
    </xf>
    <xf numFmtId="0" fontId="44" fillId="2" borderId="2" xfId="0" applyFont="1" applyFill="1" applyBorder="1" applyAlignment="1" applyProtection="1">
      <alignment vertical="center"/>
    </xf>
    <xf numFmtId="0" fontId="44" fillId="2" borderId="0" xfId="0" applyFont="1" applyFill="1" applyAlignment="1" applyProtection="1">
      <alignment vertical="center"/>
    </xf>
    <xf numFmtId="0" fontId="44" fillId="0" borderId="0" xfId="0" applyFont="1" applyAlignment="1">
      <alignment vertical="center"/>
    </xf>
    <xf numFmtId="3" fontId="45" fillId="0" borderId="0" xfId="0" applyNumberFormat="1" applyFont="1" applyBorder="1" applyAlignment="1" applyProtection="1">
      <alignment horizontal="center" vertical="center"/>
    </xf>
    <xf numFmtId="168" fontId="44" fillId="0" borderId="0" xfId="0" applyNumberFormat="1" applyFont="1" applyAlignment="1">
      <alignment horizontal="center" vertical="center"/>
    </xf>
    <xf numFmtId="0" fontId="39" fillId="2" borderId="2" xfId="0" applyFont="1" applyFill="1" applyBorder="1" applyAlignment="1" applyProtection="1">
      <alignment vertical="center"/>
    </xf>
    <xf numFmtId="0" fontId="39" fillId="2" borderId="0" xfId="0" applyFont="1" applyFill="1" applyAlignment="1" applyProtection="1">
      <alignment vertical="center"/>
    </xf>
    <xf numFmtId="3" fontId="46" fillId="0" borderId="0" xfId="0" applyNumberFormat="1" applyFont="1" applyBorder="1" applyAlignment="1" applyProtection="1">
      <alignment horizontal="center" vertical="center"/>
    </xf>
    <xf numFmtId="0" fontId="20" fillId="2" borderId="2" xfId="0" applyFont="1" applyFill="1" applyBorder="1" applyAlignment="1" applyProtection="1">
      <alignment vertical="center"/>
    </xf>
    <xf numFmtId="0" fontId="20" fillId="2" borderId="0" xfId="0" applyFont="1" applyFill="1" applyAlignment="1" applyProtection="1">
      <alignment vertical="center"/>
    </xf>
    <xf numFmtId="0" fontId="20" fillId="0" borderId="0" xfId="0" applyFont="1" applyAlignment="1">
      <alignment vertical="center"/>
    </xf>
    <xf numFmtId="3" fontId="37" fillId="0" borderId="0" xfId="0" applyNumberFormat="1" applyFont="1" applyBorder="1" applyAlignment="1" applyProtection="1">
      <alignment horizontal="center" vertical="center"/>
    </xf>
    <xf numFmtId="167" fontId="0" fillId="0" borderId="0" xfId="15" applyNumberFormat="1" applyFont="1" applyFill="1" applyBorder="1" applyAlignment="1" applyProtection="1">
      <alignment horizontal="center" vertical="center"/>
    </xf>
    <xf numFmtId="167" fontId="43" fillId="0" borderId="0" xfId="15" applyNumberFormat="1" applyFont="1" applyFill="1" applyBorder="1" applyAlignment="1" applyProtection="1">
      <alignment horizontal="center" vertical="center"/>
    </xf>
    <xf numFmtId="1" fontId="47" fillId="0" borderId="0" xfId="0" applyNumberFormat="1" applyFont="1" applyFill="1" applyBorder="1" applyAlignment="1" applyProtection="1">
      <alignment horizontal="center" vertical="center"/>
    </xf>
    <xf numFmtId="9" fontId="0" fillId="0" borderId="0" xfId="16" applyFont="1" applyFill="1" applyBorder="1" applyAlignment="1" applyProtection="1">
      <alignment horizontal="center" vertical="center"/>
    </xf>
    <xf numFmtId="167" fontId="48" fillId="0" borderId="0" xfId="15" applyNumberFormat="1" applyFont="1" applyFill="1" applyBorder="1" applyAlignment="1" applyProtection="1">
      <alignment horizontal="center" vertical="center"/>
    </xf>
    <xf numFmtId="167" fontId="44" fillId="0" borderId="0" xfId="15" applyNumberFormat="1" applyFont="1" applyFill="1" applyBorder="1" applyAlignment="1" applyProtection="1">
      <alignment horizontal="center" vertical="center"/>
    </xf>
    <xf numFmtId="167" fontId="44" fillId="0" borderId="0" xfId="15" applyNumberFormat="1" applyFont="1" applyAlignment="1">
      <alignment horizontal="center" vertical="center"/>
    </xf>
    <xf numFmtId="1" fontId="23" fillId="0" borderId="0"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vertical="center"/>
    </xf>
    <xf numFmtId="0" fontId="31" fillId="2" borderId="0" xfId="0" applyFont="1" applyFill="1" applyBorder="1" applyAlignment="1" applyProtection="1">
      <alignment vertical="center"/>
    </xf>
    <xf numFmtId="0" fontId="0" fillId="7" borderId="0" xfId="0" applyFill="1"/>
    <xf numFmtId="0" fontId="0" fillId="2" borderId="0" xfId="0" applyFill="1" applyAlignment="1">
      <alignment vertical="center"/>
    </xf>
    <xf numFmtId="0" fontId="0" fillId="2" borderId="5" xfId="0" applyFill="1" applyBorder="1" applyAlignment="1">
      <alignment vertical="center"/>
    </xf>
    <xf numFmtId="1" fontId="31" fillId="2" borderId="8" xfId="0" applyNumberFormat="1" applyFont="1" applyFill="1" applyBorder="1" applyAlignment="1" applyProtection="1">
      <alignment horizontal="center" vertical="center"/>
    </xf>
    <xf numFmtId="1" fontId="31" fillId="2" borderId="9" xfId="0" applyNumberFormat="1" applyFont="1" applyFill="1" applyBorder="1" applyAlignment="1" applyProtection="1">
      <alignment horizontal="center" vertical="center"/>
    </xf>
    <xf numFmtId="0" fontId="32" fillId="2" borderId="7" xfId="0" applyFont="1" applyFill="1" applyBorder="1" applyAlignment="1" applyProtection="1">
      <alignment vertical="center"/>
    </xf>
    <xf numFmtId="0" fontId="22" fillId="6" borderId="13" xfId="0" applyFont="1" applyFill="1" applyBorder="1" applyAlignment="1">
      <alignment vertical="center"/>
    </xf>
    <xf numFmtId="0" fontId="26" fillId="7" borderId="0" xfId="0" applyFont="1" applyFill="1" applyBorder="1"/>
    <xf numFmtId="3" fontId="35" fillId="0" borderId="0" xfId="0" applyNumberFormat="1" applyFont="1" applyFill="1" applyBorder="1" applyAlignment="1" applyProtection="1">
      <alignment horizontal="center" vertical="center"/>
    </xf>
    <xf numFmtId="0" fontId="26" fillId="7" borderId="0" xfId="0" applyFont="1" applyFill="1" applyBorder="1" applyAlignment="1">
      <alignment vertical="center"/>
    </xf>
    <xf numFmtId="0" fontId="22" fillId="8" borderId="15" xfId="0" applyFont="1" applyFill="1" applyBorder="1" applyAlignment="1">
      <alignment horizontal="left" vertical="center"/>
    </xf>
    <xf numFmtId="3" fontId="40" fillId="0" borderId="0" xfId="0" applyNumberFormat="1" applyFont="1" applyFill="1" applyBorder="1" applyAlignment="1" applyProtection="1">
      <alignment horizontal="center" vertical="center"/>
    </xf>
    <xf numFmtId="0" fontId="38" fillId="0" borderId="0" xfId="0" applyFont="1" applyFill="1" applyAlignment="1">
      <alignment vertical="center"/>
    </xf>
    <xf numFmtId="0" fontId="0" fillId="3" borderId="16" xfId="0" applyFill="1" applyBorder="1" applyAlignment="1" applyProtection="1">
      <alignment vertical="center"/>
    </xf>
    <xf numFmtId="0" fontId="32" fillId="2" borderId="13" xfId="0" applyFont="1" applyFill="1" applyBorder="1" applyAlignment="1" applyProtection="1">
      <alignment vertical="center"/>
    </xf>
    <xf numFmtId="0" fontId="0" fillId="3" borderId="18" xfId="0" applyFill="1" applyBorder="1" applyAlignment="1" applyProtection="1">
      <alignment vertical="center"/>
    </xf>
    <xf numFmtId="0" fontId="0" fillId="3" borderId="20" xfId="0" applyFill="1" applyBorder="1" applyAlignment="1" applyProtection="1">
      <alignment vertical="center"/>
    </xf>
    <xf numFmtId="1" fontId="24" fillId="0" borderId="0" xfId="0" applyNumberFormat="1" applyFont="1" applyFill="1" applyBorder="1" applyAlignment="1" applyProtection="1">
      <alignment horizontal="center" vertical="center"/>
    </xf>
    <xf numFmtId="0" fontId="22" fillId="0" borderId="0" xfId="0" applyFont="1"/>
    <xf numFmtId="9" fontId="50" fillId="4" borderId="17" xfId="16" applyFont="1" applyFill="1" applyBorder="1" applyAlignment="1" applyProtection="1">
      <alignment horizontal="center" vertical="center"/>
    </xf>
    <xf numFmtId="9" fontId="24" fillId="0" borderId="0" xfId="16" applyFont="1" applyFill="1" applyBorder="1" applyAlignment="1" applyProtection="1">
      <alignment horizontal="center" vertical="center"/>
    </xf>
    <xf numFmtId="1" fontId="56" fillId="9" borderId="19" xfId="16" applyNumberFormat="1" applyFont="1" applyFill="1" applyBorder="1" applyAlignment="1" applyProtection="1">
      <alignment horizontal="center" vertical="center"/>
    </xf>
    <xf numFmtId="1" fontId="56" fillId="9" borderId="21" xfId="16" applyNumberFormat="1" applyFont="1" applyFill="1" applyBorder="1" applyAlignment="1" applyProtection="1">
      <alignment horizontal="center" vertical="center"/>
    </xf>
    <xf numFmtId="0" fontId="0" fillId="3" borderId="22" xfId="0" applyFill="1" applyBorder="1" applyAlignment="1" applyProtection="1">
      <alignment vertical="center"/>
    </xf>
    <xf numFmtId="0" fontId="0" fillId="3" borderId="24" xfId="0" applyFill="1" applyBorder="1" applyAlignment="1" applyProtection="1">
      <alignment vertical="center"/>
    </xf>
    <xf numFmtId="0" fontId="50" fillId="0" borderId="0" xfId="0" applyFont="1"/>
    <xf numFmtId="9" fontId="50" fillId="4" borderId="21" xfId="16" applyFont="1" applyFill="1" applyBorder="1" applyAlignment="1" applyProtection="1">
      <alignment horizontal="center" vertical="center"/>
    </xf>
    <xf numFmtId="3" fontId="50" fillId="4" borderId="25" xfId="16" applyNumberFormat="1" applyFont="1" applyFill="1" applyBorder="1" applyAlignment="1" applyProtection="1">
      <alignment horizontal="center" vertical="center"/>
    </xf>
    <xf numFmtId="3" fontId="50" fillId="4" borderId="23" xfId="16" applyNumberFormat="1" applyFont="1" applyFill="1" applyBorder="1" applyAlignment="1" applyProtection="1">
      <alignment horizontal="center" vertical="center"/>
    </xf>
    <xf numFmtId="3" fontId="50" fillId="4" borderId="21" xfId="16" applyNumberFormat="1" applyFont="1" applyFill="1" applyBorder="1" applyAlignment="1" applyProtection="1">
      <alignment horizontal="center" vertical="center"/>
    </xf>
    <xf numFmtId="167" fontId="56" fillId="0" borderId="0" xfId="15" applyNumberFormat="1" applyFont="1" applyFill="1" applyBorder="1" applyAlignment="1" applyProtection="1">
      <alignment horizontal="center" vertical="center"/>
    </xf>
    <xf numFmtId="167" fontId="23" fillId="0" borderId="0" xfId="15" applyNumberFormat="1" applyFont="1" applyFill="1" applyBorder="1" applyAlignment="1" applyProtection="1">
      <alignment horizontal="center" vertical="center"/>
    </xf>
    <xf numFmtId="167" fontId="56" fillId="0" borderId="0" xfId="15" applyNumberFormat="1" applyFont="1" applyAlignment="1">
      <alignment horizontal="center" vertical="center"/>
    </xf>
    <xf numFmtId="167" fontId="23" fillId="0" borderId="0" xfId="15" applyNumberFormat="1" applyFont="1" applyAlignment="1">
      <alignment horizontal="center" vertical="center"/>
    </xf>
    <xf numFmtId="1" fontId="0" fillId="3" borderId="20" xfId="0" applyNumberFormat="1" applyFill="1" applyBorder="1" applyAlignment="1" applyProtection="1">
      <alignment vertical="center"/>
    </xf>
    <xf numFmtId="0" fontId="39" fillId="0" borderId="0" xfId="0" applyFont="1" applyFill="1" applyAlignment="1">
      <alignment vertical="center"/>
    </xf>
    <xf numFmtId="0" fontId="22" fillId="0" borderId="0" xfId="0" applyFont="1" applyFill="1" applyAlignment="1">
      <alignment vertical="center"/>
    </xf>
    <xf numFmtId="0" fontId="0" fillId="0" borderId="0" xfId="0" applyFont="1" applyFill="1" applyAlignment="1">
      <alignment vertical="center"/>
    </xf>
    <xf numFmtId="3" fontId="45" fillId="0" borderId="0" xfId="0" applyNumberFormat="1" applyFont="1" applyFill="1" applyBorder="1" applyAlignment="1" applyProtection="1">
      <alignment horizontal="center" vertical="center"/>
    </xf>
    <xf numFmtId="167" fontId="44" fillId="0" borderId="0" xfId="15" applyNumberFormat="1" applyFont="1" applyFill="1" applyAlignment="1">
      <alignment horizontal="center" vertical="center"/>
    </xf>
    <xf numFmtId="0" fontId="44" fillId="0" borderId="0" xfId="0" applyFont="1" applyFill="1" applyAlignment="1">
      <alignment vertical="center"/>
    </xf>
    <xf numFmtId="3" fontId="56" fillId="9" borderId="31" xfId="0" applyNumberFormat="1" applyFont="1" applyFill="1" applyBorder="1" applyAlignment="1">
      <alignment horizontal="center" vertical="center"/>
    </xf>
    <xf numFmtId="3" fontId="56" fillId="9" borderId="32" xfId="0" applyNumberFormat="1" applyFont="1" applyFill="1" applyBorder="1" applyAlignment="1">
      <alignment horizontal="center" vertical="center"/>
    </xf>
    <xf numFmtId="3" fontId="56" fillId="9" borderId="0" xfId="0" applyNumberFormat="1" applyFont="1" applyFill="1" applyBorder="1" applyAlignment="1">
      <alignment horizontal="center" vertical="center"/>
    </xf>
    <xf numFmtId="0" fontId="22" fillId="6" borderId="41" xfId="0" applyFont="1" applyFill="1" applyBorder="1" applyAlignment="1">
      <alignment vertical="center"/>
    </xf>
    <xf numFmtId="0" fontId="36" fillId="0" borderId="0" xfId="0" applyFont="1" applyAlignment="1">
      <alignment vertical="center"/>
    </xf>
    <xf numFmtId="167" fontId="48" fillId="0" borderId="0" xfId="15" applyNumberFormat="1" applyFont="1" applyAlignment="1">
      <alignment horizontal="center" vertical="center"/>
    </xf>
    <xf numFmtId="0" fontId="0" fillId="2" borderId="0" xfId="0" applyFill="1" applyBorder="1" applyAlignment="1" applyProtection="1">
      <alignment vertical="center"/>
    </xf>
    <xf numFmtId="0" fontId="0" fillId="0" borderId="0" xfId="0" applyAlignment="1" applyProtection="1">
      <alignment vertical="center"/>
    </xf>
    <xf numFmtId="9" fontId="22" fillId="4" borderId="17" xfId="0" applyNumberFormat="1" applyFont="1" applyFill="1" applyBorder="1" applyAlignment="1" applyProtection="1">
      <alignment horizontal="center" vertical="center"/>
    </xf>
    <xf numFmtId="1" fontId="50" fillId="4" borderId="19" xfId="15"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center" vertical="center"/>
    </xf>
    <xf numFmtId="0" fontId="49" fillId="0" borderId="0" xfId="0" applyFont="1" applyAlignment="1">
      <alignment horizontal="center" vertical="center"/>
    </xf>
    <xf numFmtId="168" fontId="17" fillId="0" borderId="0" xfId="0" applyNumberFormat="1" applyFont="1" applyAlignment="1">
      <alignment horizontal="center" vertical="center"/>
    </xf>
    <xf numFmtId="0" fontId="22" fillId="2" borderId="2" xfId="0" applyFont="1" applyFill="1" applyBorder="1" applyAlignment="1" applyProtection="1">
      <alignment vertical="center"/>
    </xf>
    <xf numFmtId="0" fontId="22" fillId="2" borderId="0" xfId="0" applyFont="1" applyFill="1" applyAlignment="1" applyProtection="1">
      <alignment vertical="center"/>
    </xf>
    <xf numFmtId="3" fontId="31" fillId="0" borderId="0" xfId="0" applyNumberFormat="1" applyFont="1" applyBorder="1" applyAlignment="1" applyProtection="1">
      <alignment horizontal="center" vertical="center"/>
    </xf>
    <xf numFmtId="3" fontId="56" fillId="9" borderId="45" xfId="0" applyNumberFormat="1" applyFont="1" applyFill="1" applyBorder="1" applyAlignment="1">
      <alignment horizontal="center" vertical="center"/>
    </xf>
    <xf numFmtId="0" fontId="34" fillId="0" borderId="0" xfId="0" applyFont="1" applyAlignment="1">
      <alignment vertical="center"/>
    </xf>
    <xf numFmtId="0" fontId="48" fillId="0" borderId="0" xfId="0" applyFont="1" applyFill="1" applyAlignment="1">
      <alignment vertical="center"/>
    </xf>
    <xf numFmtId="1" fontId="31" fillId="2" borderId="30" xfId="0" applyNumberFormat="1" applyFont="1" applyFill="1" applyBorder="1" applyAlignment="1" applyProtection="1">
      <alignment horizontal="center" vertical="center"/>
    </xf>
    <xf numFmtId="1" fontId="31" fillId="2" borderId="31" xfId="0" applyNumberFormat="1" applyFont="1" applyFill="1" applyBorder="1" applyAlignment="1" applyProtection="1">
      <alignment horizontal="center" vertical="center"/>
    </xf>
    <xf numFmtId="1" fontId="31" fillId="2" borderId="32" xfId="0" applyNumberFormat="1" applyFont="1" applyFill="1" applyBorder="1" applyAlignment="1" applyProtection="1">
      <alignment horizontal="center" vertical="center"/>
    </xf>
    <xf numFmtId="0" fontId="0" fillId="11" borderId="44" xfId="0" applyFill="1" applyBorder="1" applyAlignment="1">
      <alignment horizontal="center" vertical="center"/>
    </xf>
    <xf numFmtId="0" fontId="0" fillId="11" borderId="45" xfId="0" applyFill="1" applyBorder="1" applyAlignment="1">
      <alignment horizontal="center" vertical="center"/>
    </xf>
    <xf numFmtId="0" fontId="0" fillId="11" borderId="50" xfId="0" applyFill="1" applyBorder="1" applyAlignment="1">
      <alignment horizontal="center" vertical="center"/>
    </xf>
    <xf numFmtId="0" fontId="0" fillId="11" borderId="51" xfId="0" applyFill="1" applyBorder="1" applyAlignment="1">
      <alignment horizontal="center" vertical="center"/>
    </xf>
    <xf numFmtId="3" fontId="0" fillId="11" borderId="45" xfId="0" applyNumberFormat="1" applyFill="1" applyBorder="1" applyAlignment="1">
      <alignment horizontal="center" vertical="center"/>
    </xf>
    <xf numFmtId="3" fontId="0" fillId="11" borderId="51" xfId="0" applyNumberFormat="1" applyFill="1" applyBorder="1" applyAlignment="1">
      <alignment horizontal="center" vertical="center"/>
    </xf>
    <xf numFmtId="0" fontId="0" fillId="2" borderId="0" xfId="0" applyFill="1" applyBorder="1" applyAlignment="1" applyProtection="1">
      <alignment horizontal="center" vertical="center"/>
    </xf>
    <xf numFmtId="0" fontId="0" fillId="2" borderId="3" xfId="0" applyFill="1" applyBorder="1" applyAlignment="1" applyProtection="1">
      <alignment horizontal="center" vertical="center"/>
    </xf>
    <xf numFmtId="0" fontId="22" fillId="4" borderId="16" xfId="0" applyFont="1" applyFill="1" applyBorder="1" applyAlignment="1">
      <alignment horizontal="center" vertical="center"/>
    </xf>
    <xf numFmtId="3" fontId="22" fillId="4" borderId="16" xfId="0" applyNumberFormat="1" applyFont="1" applyFill="1" applyBorder="1" applyAlignment="1">
      <alignment horizontal="center" vertical="center"/>
    </xf>
    <xf numFmtId="0" fontId="0" fillId="3" borderId="55" xfId="0" applyFill="1" applyBorder="1" applyAlignment="1" applyProtection="1">
      <alignment vertical="center"/>
    </xf>
    <xf numFmtId="9" fontId="50" fillId="4" borderId="56" xfId="16" applyFont="1" applyFill="1" applyBorder="1" applyAlignment="1" applyProtection="1">
      <alignment horizontal="center" vertical="center"/>
    </xf>
    <xf numFmtId="9" fontId="50" fillId="4" borderId="23" xfId="16" applyFont="1" applyFill="1" applyBorder="1" applyAlignment="1" applyProtection="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0" xfId="0" applyFont="1" applyAlignment="1">
      <alignment vertical="center"/>
    </xf>
    <xf numFmtId="3" fontId="0" fillId="0" borderId="16" xfId="0" applyNumberFormat="1" applyBorder="1" applyAlignment="1">
      <alignment horizontal="center" vertical="center"/>
    </xf>
    <xf numFmtId="3" fontId="0" fillId="0" borderId="57" xfId="0" applyNumberFormat="1" applyBorder="1" applyAlignment="1">
      <alignment horizontal="center" vertical="center"/>
    </xf>
    <xf numFmtId="3" fontId="0" fillId="0" borderId="17" xfId="0" applyNumberFormat="1" applyBorder="1" applyAlignment="1">
      <alignment horizontal="center" vertical="center"/>
    </xf>
    <xf numFmtId="1" fontId="0" fillId="0" borderId="16" xfId="0" applyNumberFormat="1" applyBorder="1" applyAlignment="1">
      <alignment horizontal="center" vertical="center"/>
    </xf>
    <xf numFmtId="1" fontId="0" fillId="0" borderId="57" xfId="0" applyNumberFormat="1" applyBorder="1" applyAlignment="1">
      <alignment horizontal="center" vertical="center"/>
    </xf>
    <xf numFmtId="1" fontId="0" fillId="0" borderId="17" xfId="0" applyNumberFormat="1" applyBorder="1" applyAlignment="1">
      <alignment horizontal="center" vertical="center"/>
    </xf>
    <xf numFmtId="3" fontId="56" fillId="9" borderId="48" xfId="0" applyNumberFormat="1" applyFont="1" applyFill="1" applyBorder="1" applyAlignment="1">
      <alignment horizontal="center" vertical="center"/>
    </xf>
    <xf numFmtId="166" fontId="0" fillId="0" borderId="0" xfId="16" applyNumberFormat="1" applyFont="1" applyProtection="1"/>
    <xf numFmtId="167" fontId="0" fillId="0" borderId="0" xfId="15" applyNumberFormat="1" applyFont="1" applyProtection="1"/>
    <xf numFmtId="0" fontId="53" fillId="8" borderId="54" xfId="0" applyFont="1" applyFill="1" applyBorder="1" applyAlignment="1">
      <alignment horizontal="center" vertical="center"/>
    </xf>
    <xf numFmtId="167" fontId="47" fillId="0" borderId="0" xfId="15" applyNumberFormat="1" applyFont="1" applyFill="1" applyBorder="1" applyAlignment="1" applyProtection="1">
      <alignment horizontal="center" vertical="center"/>
    </xf>
    <xf numFmtId="0" fontId="47" fillId="2" borderId="2" xfId="0" applyFont="1" applyFill="1" applyBorder="1" applyAlignment="1" applyProtection="1">
      <alignment vertical="center"/>
    </xf>
    <xf numFmtId="0" fontId="47" fillId="2" borderId="0" xfId="0" applyFont="1" applyFill="1" applyAlignment="1" applyProtection="1">
      <alignment vertical="center"/>
    </xf>
    <xf numFmtId="0" fontId="57" fillId="2" borderId="2" xfId="0" applyFont="1" applyFill="1" applyBorder="1" applyAlignment="1" applyProtection="1">
      <alignment vertical="center"/>
    </xf>
    <xf numFmtId="0" fontId="57" fillId="2" borderId="0" xfId="0" applyFont="1" applyFill="1" applyAlignment="1" applyProtection="1">
      <alignment vertical="center"/>
    </xf>
    <xf numFmtId="3" fontId="47" fillId="0" borderId="0" xfId="0" applyNumberFormat="1" applyFont="1" applyBorder="1" applyAlignment="1" applyProtection="1">
      <alignment horizontal="center" vertical="center"/>
    </xf>
    <xf numFmtId="0" fontId="47" fillId="0" borderId="0" xfId="0" applyFont="1" applyAlignment="1">
      <alignment vertical="center"/>
    </xf>
    <xf numFmtId="0" fontId="61" fillId="0" borderId="0" xfId="0" applyFont="1" applyFill="1" applyAlignment="1">
      <alignment vertical="center"/>
    </xf>
    <xf numFmtId="1" fontId="59" fillId="0" borderId="0" xfId="0" applyNumberFormat="1" applyFont="1" applyFill="1" applyBorder="1" applyAlignment="1" applyProtection="1">
      <alignment horizontal="center" vertical="center"/>
    </xf>
    <xf numFmtId="0" fontId="62" fillId="2" borderId="2" xfId="0" applyFont="1" applyFill="1" applyBorder="1" applyAlignment="1" applyProtection="1">
      <alignment vertical="center"/>
    </xf>
    <xf numFmtId="0" fontId="62" fillId="2" borderId="0" xfId="0" applyFont="1" applyFill="1" applyAlignment="1" applyProtection="1">
      <alignment vertical="center"/>
    </xf>
    <xf numFmtId="3" fontId="63" fillId="0" borderId="0" xfId="0" applyNumberFormat="1" applyFont="1" applyBorder="1" applyAlignment="1" applyProtection="1">
      <alignment horizontal="center" vertical="center"/>
    </xf>
    <xf numFmtId="1" fontId="60" fillId="0" borderId="0" xfId="0" applyNumberFormat="1" applyFont="1" applyFill="1" applyBorder="1" applyAlignment="1" applyProtection="1">
      <alignment horizontal="center" vertical="center"/>
    </xf>
    <xf numFmtId="0" fontId="62" fillId="0" borderId="0" xfId="0" applyFont="1" applyAlignment="1">
      <alignment vertical="center"/>
    </xf>
    <xf numFmtId="0" fontId="16" fillId="0" borderId="0" xfId="0" applyFont="1" applyFill="1" applyAlignment="1">
      <alignment vertical="center"/>
    </xf>
    <xf numFmtId="3" fontId="64" fillId="0" borderId="0" xfId="0" applyNumberFormat="1" applyFont="1" applyFill="1" applyBorder="1" applyAlignment="1" applyProtection="1">
      <alignment horizontal="center" vertical="center"/>
    </xf>
    <xf numFmtId="0" fontId="24" fillId="0" borderId="0" xfId="0" applyFont="1" applyFill="1" applyAlignment="1">
      <alignment vertical="center"/>
    </xf>
    <xf numFmtId="3" fontId="34" fillId="8" borderId="48" xfId="0" applyNumberFormat="1" applyFont="1" applyFill="1" applyBorder="1" applyAlignment="1">
      <alignment horizontal="center" vertical="center"/>
    </xf>
    <xf numFmtId="3" fontId="34" fillId="8" borderId="53" xfId="0" applyNumberFormat="1" applyFont="1" applyFill="1" applyBorder="1" applyAlignment="1">
      <alignment horizontal="center" vertical="center"/>
    </xf>
    <xf numFmtId="0" fontId="24" fillId="2" borderId="2" xfId="0" applyFont="1" applyFill="1" applyBorder="1" applyAlignment="1" applyProtection="1">
      <alignment vertical="center"/>
    </xf>
    <xf numFmtId="0" fontId="24" fillId="2" borderId="0" xfId="0" applyFont="1" applyFill="1" applyAlignment="1" applyProtection="1">
      <alignment vertical="center"/>
    </xf>
    <xf numFmtId="3" fontId="0" fillId="0" borderId="0" xfId="0" applyNumberFormat="1" applyBorder="1" applyAlignment="1" applyProtection="1">
      <alignment horizontal="center" vertical="center"/>
    </xf>
    <xf numFmtId="0" fontId="0" fillId="0" borderId="0" xfId="0" applyBorder="1" applyAlignment="1" applyProtection="1">
      <alignment horizontal="center" vertical="center"/>
    </xf>
    <xf numFmtId="170" fontId="0" fillId="0" borderId="0" xfId="0" applyNumberFormat="1" applyBorder="1" applyAlignment="1" applyProtection="1">
      <alignment horizontal="center" vertical="center"/>
    </xf>
    <xf numFmtId="0" fontId="65" fillId="2" borderId="2" xfId="0" applyFont="1" applyFill="1" applyBorder="1" applyProtection="1"/>
    <xf numFmtId="0" fontId="65" fillId="2" borderId="0" xfId="0" applyFont="1" applyFill="1" applyProtection="1"/>
    <xf numFmtId="0" fontId="65" fillId="0" borderId="0" xfId="0" applyFont="1" applyBorder="1" applyProtection="1"/>
    <xf numFmtId="170" fontId="66" fillId="0" borderId="0" xfId="0" applyNumberFormat="1" applyFont="1" applyBorder="1" applyAlignment="1" applyProtection="1">
      <alignment horizontal="center" vertical="center"/>
    </xf>
    <xf numFmtId="0" fontId="65" fillId="0" borderId="0" xfId="0" applyFont="1"/>
    <xf numFmtId="3" fontId="65" fillId="0" borderId="0" xfId="0" applyNumberFormat="1" applyFont="1" applyBorder="1" applyAlignment="1" applyProtection="1">
      <alignment horizontal="center" vertical="center"/>
    </xf>
    <xf numFmtId="3" fontId="66" fillId="0" borderId="0" xfId="0" applyNumberFormat="1" applyFont="1" applyBorder="1" applyAlignment="1" applyProtection="1">
      <alignment horizontal="center" vertical="center"/>
    </xf>
    <xf numFmtId="170" fontId="50" fillId="4" borderId="25" xfId="16" applyNumberFormat="1" applyFont="1" applyFill="1" applyBorder="1" applyAlignment="1" applyProtection="1">
      <alignment horizontal="center" vertical="center"/>
    </xf>
    <xf numFmtId="4" fontId="50" fillId="4" borderId="23" xfId="16" applyNumberFormat="1" applyFont="1" applyFill="1" applyBorder="1" applyAlignment="1" applyProtection="1">
      <alignment horizontal="center" vertical="center"/>
    </xf>
    <xf numFmtId="2" fontId="50" fillId="4" borderId="56" xfId="16" applyNumberFormat="1" applyFont="1" applyFill="1" applyBorder="1" applyAlignment="1" applyProtection="1">
      <alignment horizontal="center" vertical="center"/>
    </xf>
    <xf numFmtId="170" fontId="67" fillId="0" borderId="0" xfId="0" applyNumberFormat="1" applyFont="1" applyBorder="1" applyAlignment="1" applyProtection="1">
      <alignment horizontal="center" vertical="center"/>
    </xf>
    <xf numFmtId="166" fontId="50" fillId="4" borderId="56" xfId="16" applyNumberFormat="1" applyFont="1" applyFill="1" applyBorder="1" applyAlignment="1" applyProtection="1">
      <alignment horizontal="center" vertical="center"/>
    </xf>
    <xf numFmtId="0" fontId="22" fillId="2" borderId="2" xfId="0" applyFont="1" applyFill="1" applyBorder="1" applyProtection="1"/>
    <xf numFmtId="0" fontId="22" fillId="2" borderId="0" xfId="0" applyFont="1" applyFill="1" applyProtection="1"/>
    <xf numFmtId="0" fontId="22" fillId="0" borderId="0" xfId="0" applyFont="1" applyBorder="1"/>
    <xf numFmtId="3" fontId="22" fillId="0" borderId="0" xfId="0" applyNumberFormat="1" applyFont="1" applyBorder="1" applyAlignment="1" applyProtection="1">
      <alignment horizontal="center" vertical="center"/>
    </xf>
    <xf numFmtId="0" fontId="22" fillId="0" borderId="0" xfId="0" applyFont="1" applyBorder="1" applyProtection="1"/>
    <xf numFmtId="3" fontId="56" fillId="0" borderId="0" xfId="0" applyNumberFormat="1" applyFont="1" applyBorder="1" applyAlignment="1" applyProtection="1">
      <alignment horizontal="center" vertical="center"/>
    </xf>
    <xf numFmtId="3" fontId="67" fillId="0" borderId="0" xfId="0" applyNumberFormat="1" applyFont="1" applyBorder="1" applyAlignment="1" applyProtection="1">
      <alignment horizontal="center" vertical="center"/>
    </xf>
    <xf numFmtId="167" fontId="24" fillId="0" borderId="0" xfId="15" applyNumberFormat="1" applyFont="1" applyFill="1" applyBorder="1" applyAlignment="1" applyProtection="1">
      <alignment horizontal="center" vertical="center"/>
    </xf>
    <xf numFmtId="0" fontId="26" fillId="0" borderId="0" xfId="0" applyFont="1" applyFill="1"/>
    <xf numFmtId="0" fontId="31" fillId="13" borderId="0" xfId="0" applyFont="1" applyFill="1" applyBorder="1" applyAlignment="1" applyProtection="1">
      <alignment vertical="center"/>
    </xf>
    <xf numFmtId="0" fontId="37" fillId="13" borderId="0" xfId="0" applyFont="1" applyFill="1" applyBorder="1" applyAlignment="1" applyProtection="1">
      <alignment vertical="center"/>
    </xf>
    <xf numFmtId="0" fontId="15" fillId="2" borderId="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xf numFmtId="167" fontId="37" fillId="13" borderId="0" xfId="15" applyNumberFormat="1" applyFont="1" applyFill="1" applyBorder="1" applyAlignment="1" applyProtection="1">
      <alignment horizontal="center" vertical="center"/>
    </xf>
    <xf numFmtId="167" fontId="26" fillId="13" borderId="0" xfId="15" applyNumberFormat="1" applyFont="1" applyFill="1" applyBorder="1" applyAlignment="1" applyProtection="1">
      <alignment horizontal="center" vertical="center"/>
    </xf>
    <xf numFmtId="0" fontId="38" fillId="2" borderId="2" xfId="0" applyFont="1" applyFill="1" applyBorder="1" applyAlignment="1" applyProtection="1">
      <alignment vertical="center"/>
    </xf>
    <xf numFmtId="0" fontId="38" fillId="2" borderId="0" xfId="0" applyFont="1" applyFill="1" applyAlignment="1" applyProtection="1">
      <alignment vertical="center"/>
    </xf>
    <xf numFmtId="0" fontId="38" fillId="0" borderId="0" xfId="0" applyFont="1" applyAlignment="1">
      <alignment vertical="center"/>
    </xf>
    <xf numFmtId="3" fontId="40" fillId="0" borderId="0" xfId="0" applyNumberFormat="1" applyFont="1" applyBorder="1" applyAlignment="1" applyProtection="1">
      <alignment horizontal="center" vertical="center"/>
    </xf>
    <xf numFmtId="9" fontId="38" fillId="0" borderId="0" xfId="16" applyFont="1" applyFill="1" applyBorder="1" applyAlignment="1" applyProtection="1">
      <alignment horizontal="center" vertical="center"/>
    </xf>
    <xf numFmtId="9" fontId="68" fillId="0" borderId="0" xfId="16" applyFont="1" applyFill="1" applyBorder="1" applyAlignment="1" applyProtection="1">
      <alignment horizontal="center" vertical="center"/>
    </xf>
    <xf numFmtId="0" fontId="18" fillId="0" borderId="0" xfId="0" applyFont="1" applyFill="1" applyAlignment="1">
      <alignment vertical="center"/>
    </xf>
    <xf numFmtId="0" fontId="47" fillId="0" borderId="0" xfId="0" applyFont="1" applyFill="1" applyAlignment="1">
      <alignment vertical="center"/>
    </xf>
    <xf numFmtId="0" fontId="47" fillId="0" borderId="0" xfId="0" applyFont="1" applyFill="1" applyBorder="1" applyAlignment="1">
      <alignment vertical="center"/>
    </xf>
    <xf numFmtId="0" fontId="0" fillId="0" borderId="0" xfId="0" applyFill="1" applyAlignment="1">
      <alignment vertical="center"/>
    </xf>
    <xf numFmtId="0" fontId="23" fillId="0" borderId="0" xfId="0" applyFont="1" applyFill="1" applyAlignment="1">
      <alignment vertical="center"/>
    </xf>
    <xf numFmtId="167" fontId="31" fillId="2" borderId="0" xfId="0" applyNumberFormat="1" applyFont="1" applyFill="1" applyBorder="1" applyAlignment="1" applyProtection="1">
      <alignment horizontal="center" vertical="center"/>
    </xf>
    <xf numFmtId="0" fontId="31" fillId="14" borderId="0" xfId="0" applyFont="1" applyFill="1" applyBorder="1" applyAlignment="1" applyProtection="1">
      <alignment vertical="center"/>
    </xf>
    <xf numFmtId="2" fontId="31" fillId="14" borderId="0" xfId="0" applyNumberFormat="1" applyFont="1" applyFill="1" applyBorder="1" applyAlignment="1" applyProtection="1">
      <alignment horizontal="center" vertical="center"/>
    </xf>
    <xf numFmtId="167" fontId="31" fillId="14" borderId="0" xfId="0" applyNumberFormat="1" applyFont="1" applyFill="1" applyBorder="1" applyAlignment="1" applyProtection="1">
      <alignment horizontal="center" vertical="center"/>
    </xf>
    <xf numFmtId="167" fontId="26" fillId="14" borderId="0" xfId="0" applyNumberFormat="1" applyFont="1" applyFill="1" applyBorder="1" applyAlignment="1" applyProtection="1">
      <alignment horizontal="center" vertical="center"/>
    </xf>
    <xf numFmtId="0" fontId="26" fillId="0" borderId="0" xfId="0" applyFont="1" applyFill="1" applyAlignment="1">
      <alignment vertical="center"/>
    </xf>
    <xf numFmtId="0" fontId="22" fillId="0" borderId="0" xfId="0" applyFont="1" applyFill="1" applyBorder="1"/>
    <xf numFmtId="0" fontId="65" fillId="0" borderId="0" xfId="0" applyFont="1" applyFill="1" applyBorder="1" applyProtection="1"/>
    <xf numFmtId="0" fontId="22" fillId="0" borderId="0" xfId="0" applyFont="1" applyFill="1" applyBorder="1" applyProtection="1"/>
    <xf numFmtId="0" fontId="65" fillId="2" borderId="2" xfId="0" applyFont="1" applyFill="1" applyBorder="1" applyAlignment="1" applyProtection="1">
      <alignment vertical="center"/>
    </xf>
    <xf numFmtId="0" fontId="65" fillId="2" borderId="0" xfId="0" applyFont="1" applyFill="1" applyAlignment="1" applyProtection="1">
      <alignment vertical="center"/>
    </xf>
    <xf numFmtId="0" fontId="69" fillId="13" borderId="0" xfId="0" applyFont="1" applyFill="1" applyBorder="1" applyAlignment="1" applyProtection="1">
      <alignment vertical="center"/>
    </xf>
    <xf numFmtId="0" fontId="70" fillId="13" borderId="0" xfId="0" applyFont="1" applyFill="1" applyBorder="1" applyAlignment="1" applyProtection="1">
      <alignment vertical="center"/>
    </xf>
    <xf numFmtId="167" fontId="69" fillId="13" borderId="0" xfId="15" applyNumberFormat="1" applyFont="1" applyFill="1" applyBorder="1" applyAlignment="1" applyProtection="1">
      <alignment horizontal="center" vertical="center"/>
    </xf>
    <xf numFmtId="167" fontId="0" fillId="0" borderId="0" xfId="0" applyNumberFormat="1" applyProtection="1"/>
    <xf numFmtId="167" fontId="22" fillId="0" borderId="0" xfId="15" applyNumberFormat="1" applyFont="1" applyProtection="1"/>
    <xf numFmtId="167" fontId="68" fillId="0" borderId="0" xfId="15" applyNumberFormat="1" applyFont="1" applyFill="1" applyBorder="1" applyAlignment="1" applyProtection="1">
      <alignment horizontal="center" vertical="center"/>
    </xf>
    <xf numFmtId="9" fontId="50" fillId="4" borderId="17" xfId="16" applyNumberFormat="1" applyFont="1" applyFill="1" applyBorder="1" applyAlignment="1" applyProtection="1">
      <alignment horizontal="center" vertical="center"/>
    </xf>
    <xf numFmtId="0" fontId="26" fillId="0" borderId="0" xfId="0" applyFont="1" applyFill="1" applyAlignment="1">
      <alignment horizontal="center" vertical="center" wrapText="1"/>
    </xf>
    <xf numFmtId="0" fontId="65" fillId="2" borderId="0" xfId="0" applyFont="1" applyFill="1" applyAlignment="1">
      <alignment vertical="center"/>
    </xf>
    <xf numFmtId="0" fontId="65" fillId="2" borderId="5" xfId="0" applyFont="1" applyFill="1" applyBorder="1" applyAlignment="1">
      <alignment vertical="center"/>
    </xf>
    <xf numFmtId="0" fontId="65" fillId="0" borderId="0" xfId="0" applyFont="1" applyAlignment="1">
      <alignment vertical="center"/>
    </xf>
    <xf numFmtId="9" fontId="26" fillId="0" borderId="0" xfId="0" applyNumberFormat="1" applyFont="1" applyAlignment="1">
      <alignment horizontal="center" vertical="center"/>
    </xf>
    <xf numFmtId="0" fontId="22" fillId="6" borderId="16" xfId="0" applyFont="1" applyFill="1" applyBorder="1" applyAlignment="1">
      <alignment vertical="center"/>
    </xf>
    <xf numFmtId="0" fontId="65" fillId="2" borderId="0" xfId="0" applyFont="1" applyFill="1"/>
    <xf numFmtId="0" fontId="65" fillId="2" borderId="5" xfId="0" applyFont="1" applyFill="1" applyBorder="1"/>
    <xf numFmtId="0" fontId="14" fillId="2" borderId="0" xfId="0" applyFont="1" applyFill="1"/>
    <xf numFmtId="0" fontId="14" fillId="2" borderId="5" xfId="0" applyFont="1" applyFill="1" applyBorder="1"/>
    <xf numFmtId="0" fontId="14" fillId="0" borderId="0" xfId="0" applyFont="1"/>
    <xf numFmtId="168" fontId="67" fillId="9" borderId="37" xfId="0" applyNumberFormat="1" applyFont="1" applyFill="1" applyBorder="1" applyAlignment="1">
      <alignment horizontal="center" vertical="center"/>
    </xf>
    <xf numFmtId="168" fontId="67" fillId="9" borderId="51" xfId="0" applyNumberFormat="1" applyFont="1" applyFill="1" applyBorder="1" applyAlignment="1">
      <alignment horizontal="center" vertical="center"/>
    </xf>
    <xf numFmtId="168" fontId="67" fillId="9" borderId="53" xfId="0" applyNumberFormat="1" applyFont="1" applyFill="1" applyBorder="1" applyAlignment="1">
      <alignment horizontal="center" vertical="center"/>
    </xf>
    <xf numFmtId="0" fontId="14" fillId="2" borderId="0" xfId="0" applyFont="1" applyFill="1" applyAlignment="1">
      <alignment vertical="center"/>
    </xf>
    <xf numFmtId="0" fontId="14" fillId="2" borderId="5" xfId="0" applyFont="1" applyFill="1" applyBorder="1" applyAlignment="1">
      <alignment vertical="center"/>
    </xf>
    <xf numFmtId="0" fontId="14" fillId="0" borderId="0" xfId="0" applyFont="1" applyAlignment="1">
      <alignment vertical="center"/>
    </xf>
    <xf numFmtId="0" fontId="23" fillId="9" borderId="31" xfId="0" applyFont="1" applyFill="1" applyBorder="1" applyAlignment="1">
      <alignment horizontal="center" vertical="center"/>
    </xf>
    <xf numFmtId="0" fontId="23" fillId="9" borderId="32"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28" xfId="0" applyFont="1" applyFill="1" applyBorder="1" applyAlignment="1">
      <alignment horizontal="center" vertical="center"/>
    </xf>
    <xf numFmtId="0" fontId="37" fillId="0" borderId="0" xfId="0" applyFont="1" applyAlignment="1">
      <alignment wrapText="1"/>
    </xf>
    <xf numFmtId="0" fontId="56" fillId="6" borderId="0" xfId="0" applyFont="1" applyFill="1" applyBorder="1" applyAlignment="1">
      <alignment horizontal="center" vertical="center"/>
    </xf>
    <xf numFmtId="168" fontId="23" fillId="9" borderId="34" xfId="0" applyNumberFormat="1" applyFont="1" applyFill="1" applyBorder="1" applyAlignment="1">
      <alignment horizontal="center" vertical="center"/>
    </xf>
    <xf numFmtId="168" fontId="50" fillId="9" borderId="35" xfId="0" applyNumberFormat="1" applyFont="1" applyFill="1" applyBorder="1" applyAlignment="1">
      <alignment horizontal="center" vertical="center"/>
    </xf>
    <xf numFmtId="168" fontId="50" fillId="9" borderId="28" xfId="0" applyNumberFormat="1" applyFont="1" applyFill="1" applyBorder="1" applyAlignment="1">
      <alignment horizontal="center" vertical="center"/>
    </xf>
    <xf numFmtId="168" fontId="50" fillId="9" borderId="62" xfId="0" applyNumberFormat="1" applyFont="1" applyFill="1" applyBorder="1" applyAlignment="1">
      <alignment horizontal="center" vertical="center"/>
    </xf>
    <xf numFmtId="168" fontId="23" fillId="9" borderId="63" xfId="0" applyNumberFormat="1" applyFont="1" applyFill="1" applyBorder="1" applyAlignment="1">
      <alignment horizontal="center" vertical="center"/>
    </xf>
    <xf numFmtId="168" fontId="50" fillId="9" borderId="64" xfId="0" applyNumberFormat="1" applyFont="1" applyFill="1" applyBorder="1" applyAlignment="1">
      <alignment horizontal="center" vertical="center"/>
    </xf>
    <xf numFmtId="168" fontId="50" fillId="9" borderId="65" xfId="0" applyNumberFormat="1" applyFont="1" applyFill="1" applyBorder="1" applyAlignment="1">
      <alignment horizontal="center" vertical="center"/>
    </xf>
    <xf numFmtId="168" fontId="23" fillId="9" borderId="62" xfId="0" applyNumberFormat="1" applyFont="1" applyFill="1" applyBorder="1" applyAlignment="1">
      <alignment horizontal="center" vertical="center"/>
    </xf>
    <xf numFmtId="168" fontId="23" fillId="9" borderId="0" xfId="0" applyNumberFormat="1" applyFont="1" applyFill="1" applyBorder="1" applyAlignment="1">
      <alignment horizontal="center" vertical="center"/>
    </xf>
    <xf numFmtId="9" fontId="0" fillId="0" borderId="0" xfId="16" applyFont="1"/>
    <xf numFmtId="0" fontId="72" fillId="0" borderId="0" xfId="0" applyFont="1" applyFill="1"/>
    <xf numFmtId="168" fontId="24" fillId="0" borderId="0" xfId="0" applyNumberFormat="1" applyFont="1" applyFill="1" applyBorder="1" applyAlignment="1" applyProtection="1">
      <alignment horizontal="center" vertical="center"/>
    </xf>
    <xf numFmtId="0" fontId="13" fillId="0" borderId="0" xfId="0" applyFont="1" applyFill="1" applyAlignment="1">
      <alignment vertical="center"/>
    </xf>
    <xf numFmtId="1" fontId="24" fillId="0" borderId="0" xfId="0" applyNumberFormat="1" applyFont="1" applyFill="1" applyAlignment="1">
      <alignment horizontal="center" vertical="center"/>
    </xf>
    <xf numFmtId="2" fontId="24" fillId="0" borderId="0" xfId="0" applyNumberFormat="1" applyFont="1" applyFill="1" applyAlignment="1">
      <alignment horizontal="center" vertical="center"/>
    </xf>
    <xf numFmtId="167" fontId="0" fillId="0" borderId="0" xfId="15" applyNumberFormat="1" applyFont="1" applyFill="1" applyAlignment="1">
      <alignment horizontal="center" vertical="center"/>
    </xf>
    <xf numFmtId="0" fontId="24" fillId="0" borderId="0" xfId="0" applyFont="1" applyFill="1"/>
    <xf numFmtId="0" fontId="22" fillId="6" borderId="50" xfId="0" applyFont="1" applyFill="1" applyBorder="1" applyAlignment="1">
      <alignment vertical="center"/>
    </xf>
    <xf numFmtId="9" fontId="50" fillId="9" borderId="0" xfId="16" applyFont="1" applyFill="1" applyBorder="1" applyAlignment="1">
      <alignment horizontal="center" vertical="center"/>
    </xf>
    <xf numFmtId="9" fontId="56" fillId="9" borderId="34" xfId="16" applyFont="1" applyFill="1" applyBorder="1" applyAlignment="1">
      <alignment horizontal="center" vertical="center"/>
    </xf>
    <xf numFmtId="9" fontId="56" fillId="9" borderId="0" xfId="16" applyFont="1" applyFill="1" applyBorder="1" applyAlignment="1">
      <alignment horizontal="center" vertical="center"/>
    </xf>
    <xf numFmtId="9" fontId="50" fillId="9" borderId="28" xfId="16" applyFont="1" applyFill="1" applyBorder="1" applyAlignment="1">
      <alignment horizontal="center" vertical="center"/>
    </xf>
    <xf numFmtId="1" fontId="72" fillId="9" borderId="51" xfId="0" applyNumberFormat="1" applyFont="1" applyFill="1" applyBorder="1" applyAlignment="1">
      <alignment horizontal="center" vertical="center"/>
    </xf>
    <xf numFmtId="1" fontId="23" fillId="9" borderId="52" xfId="0" applyNumberFormat="1" applyFont="1" applyFill="1" applyBorder="1" applyAlignment="1">
      <alignment horizontal="center" vertical="center"/>
    </xf>
    <xf numFmtId="1" fontId="23" fillId="9" borderId="51" xfId="0" applyNumberFormat="1" applyFont="1" applyFill="1" applyBorder="1" applyAlignment="1">
      <alignment horizontal="center" vertical="center"/>
    </xf>
    <xf numFmtId="1" fontId="72" fillId="9" borderId="49" xfId="0" applyNumberFormat="1" applyFont="1" applyFill="1" applyBorder="1" applyAlignment="1">
      <alignment horizontal="center" vertical="center"/>
    </xf>
    <xf numFmtId="1" fontId="72" fillId="9" borderId="53" xfId="0" applyNumberFormat="1" applyFont="1" applyFill="1" applyBorder="1" applyAlignment="1">
      <alignment horizontal="center" vertical="center"/>
    </xf>
    <xf numFmtId="1" fontId="23" fillId="9" borderId="37" xfId="0" applyNumberFormat="1" applyFont="1" applyFill="1" applyBorder="1" applyAlignment="1">
      <alignment horizontal="center" vertical="center"/>
    </xf>
    <xf numFmtId="9" fontId="24" fillId="0" borderId="0" xfId="16" applyFont="1" applyFill="1" applyAlignment="1">
      <alignment horizontal="center" vertical="center"/>
    </xf>
    <xf numFmtId="3" fontId="50" fillId="4" borderId="19" xfId="16" applyNumberFormat="1" applyFont="1" applyFill="1" applyBorder="1" applyAlignment="1" applyProtection="1">
      <alignment horizontal="center" vertical="center"/>
    </xf>
    <xf numFmtId="0" fontId="0" fillId="7" borderId="0" xfId="0" applyFill="1" applyAlignment="1">
      <alignment horizontal="center" vertical="center"/>
    </xf>
    <xf numFmtId="2" fontId="34" fillId="8" borderId="48" xfId="0" applyNumberFormat="1" applyFont="1" applyFill="1" applyBorder="1" applyAlignment="1">
      <alignment horizontal="center" vertical="center"/>
    </xf>
    <xf numFmtId="1" fontId="31" fillId="2" borderId="7" xfId="0" applyNumberFormat="1" applyFont="1" applyFill="1" applyBorder="1" applyAlignment="1" applyProtection="1">
      <alignment horizontal="center" vertical="center"/>
    </xf>
    <xf numFmtId="2" fontId="23" fillId="8" borderId="37" xfId="0" applyNumberFormat="1" applyFont="1" applyFill="1" applyBorder="1" applyAlignment="1">
      <alignment horizontal="center" vertical="center"/>
    </xf>
    <xf numFmtId="2" fontId="23" fillId="8" borderId="34" xfId="0" applyNumberFormat="1" applyFont="1" applyFill="1" applyBorder="1" applyAlignment="1">
      <alignment horizontal="center" vertical="center"/>
    </xf>
    <xf numFmtId="2" fontId="23" fillId="8" borderId="0" xfId="0" applyNumberFormat="1" applyFont="1" applyFill="1" applyBorder="1" applyAlignment="1">
      <alignment horizontal="center" vertical="center"/>
    </xf>
    <xf numFmtId="0" fontId="23" fillId="0" borderId="0" xfId="0" applyFont="1" applyFill="1"/>
    <xf numFmtId="4" fontId="34" fillId="8" borderId="48" xfId="0" applyNumberFormat="1" applyFont="1" applyFill="1" applyBorder="1" applyAlignment="1">
      <alignment horizontal="center" vertical="center"/>
    </xf>
    <xf numFmtId="0" fontId="56" fillId="6" borderId="62" xfId="0" applyFont="1" applyFill="1" applyBorder="1" applyAlignment="1">
      <alignment horizontal="center" vertical="center"/>
    </xf>
    <xf numFmtId="3" fontId="67" fillId="9" borderId="37" xfId="0" applyNumberFormat="1" applyFont="1" applyFill="1" applyBorder="1" applyAlignment="1">
      <alignment horizontal="center" vertical="center"/>
    </xf>
    <xf numFmtId="3" fontId="67" fillId="9" borderId="40" xfId="0" applyNumberFormat="1" applyFont="1" applyFill="1" applyBorder="1" applyAlignment="1">
      <alignment horizontal="center" vertical="center"/>
    </xf>
    <xf numFmtId="3" fontId="67" fillId="9" borderId="51" xfId="0" applyNumberFormat="1" applyFont="1" applyFill="1" applyBorder="1" applyAlignment="1">
      <alignment horizontal="center" vertical="center"/>
    </xf>
    <xf numFmtId="3" fontId="67" fillId="9" borderId="53" xfId="0" applyNumberFormat="1" applyFont="1" applyFill="1" applyBorder="1" applyAlignment="1">
      <alignment horizontal="center" vertical="center"/>
    </xf>
    <xf numFmtId="170" fontId="56" fillId="9" borderId="0" xfId="0" applyNumberFormat="1" applyFont="1" applyFill="1" applyBorder="1" applyAlignment="1">
      <alignment horizontal="center" vertical="center"/>
    </xf>
    <xf numFmtId="170" fontId="56" fillId="9" borderId="48" xfId="0" applyNumberFormat="1" applyFont="1" applyFill="1" applyBorder="1" applyAlignment="1">
      <alignment horizontal="center" vertical="center"/>
    </xf>
    <xf numFmtId="0" fontId="73" fillId="0" borderId="0" xfId="0" applyFont="1" applyAlignment="1">
      <alignment vertical="center"/>
    </xf>
    <xf numFmtId="0" fontId="71" fillId="0" borderId="0" xfId="0" applyFont="1" applyAlignment="1">
      <alignment horizontal="center" vertical="center" wrapText="1"/>
    </xf>
    <xf numFmtId="1" fontId="31" fillId="2" borderId="14" xfId="0" applyNumberFormat="1" applyFont="1" applyFill="1" applyBorder="1" applyAlignment="1" applyProtection="1">
      <alignment horizontal="center" vertical="center"/>
    </xf>
    <xf numFmtId="1" fontId="31" fillId="2" borderId="15" xfId="0" applyNumberFormat="1" applyFont="1" applyFill="1" applyBorder="1" applyAlignment="1" applyProtection="1">
      <alignment horizontal="center" vertical="center"/>
    </xf>
    <xf numFmtId="9" fontId="50" fillId="4" borderId="21" xfId="16" applyNumberFormat="1" applyFont="1" applyFill="1" applyBorder="1" applyAlignment="1" applyProtection="1">
      <alignment horizontal="center" vertical="center"/>
    </xf>
    <xf numFmtId="0" fontId="23" fillId="9" borderId="8" xfId="0" applyFont="1" applyFill="1" applyBorder="1" applyAlignment="1">
      <alignment horizontal="center" vertical="center"/>
    </xf>
    <xf numFmtId="0" fontId="23" fillId="0" borderId="0" xfId="17" applyFont="1"/>
    <xf numFmtId="0" fontId="44" fillId="16" borderId="0" xfId="0" applyFont="1" applyFill="1" applyAlignment="1">
      <alignment vertical="center"/>
    </xf>
    <xf numFmtId="3" fontId="35" fillId="16" borderId="0" xfId="0" applyNumberFormat="1" applyFont="1" applyFill="1" applyBorder="1" applyAlignment="1" applyProtection="1">
      <alignment horizontal="center" vertical="center"/>
    </xf>
    <xf numFmtId="167" fontId="44" fillId="16" borderId="0" xfId="15"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center" vertical="center"/>
    </xf>
    <xf numFmtId="2" fontId="34" fillId="8" borderId="53" xfId="0" applyNumberFormat="1" applyFont="1" applyFill="1" applyBorder="1" applyAlignment="1">
      <alignment horizontal="center" vertical="center"/>
    </xf>
    <xf numFmtId="0" fontId="0" fillId="3" borderId="43" xfId="0" applyFill="1" applyBorder="1" applyAlignment="1" applyProtection="1">
      <alignment vertical="center"/>
    </xf>
    <xf numFmtId="167" fontId="56" fillId="0" borderId="0" xfId="15" applyNumberFormat="1" applyFont="1" applyFill="1" applyAlignment="1">
      <alignment horizontal="center" vertical="center"/>
    </xf>
    <xf numFmtId="173" fontId="26" fillId="13" borderId="0" xfId="15" applyNumberFormat="1" applyFont="1" applyFill="1" applyBorder="1" applyAlignment="1" applyProtection="1">
      <alignment horizontal="center" vertical="center"/>
    </xf>
    <xf numFmtId="2" fontId="23" fillId="9" borderId="76" xfId="0" applyNumberFormat="1" applyFont="1" applyFill="1" applyBorder="1" applyAlignment="1">
      <alignment horizontal="center" vertical="center"/>
    </xf>
    <xf numFmtId="2" fontId="23" fillId="9" borderId="74" xfId="0" applyNumberFormat="1" applyFont="1" applyFill="1" applyBorder="1" applyAlignment="1">
      <alignment horizontal="center" vertical="center"/>
    </xf>
    <xf numFmtId="2" fontId="23" fillId="9" borderId="75" xfId="0" applyNumberFormat="1" applyFont="1" applyFill="1" applyBorder="1" applyAlignment="1">
      <alignment horizontal="center" vertical="center"/>
    </xf>
    <xf numFmtId="0" fontId="11" fillId="6" borderId="73" xfId="0" applyFont="1" applyFill="1" applyBorder="1" applyAlignment="1">
      <alignment vertical="center"/>
    </xf>
    <xf numFmtId="1" fontId="23" fillId="9" borderId="74" xfId="0" applyNumberFormat="1" applyFont="1" applyFill="1" applyBorder="1" applyAlignment="1">
      <alignment horizontal="center" vertical="center"/>
    </xf>
    <xf numFmtId="1" fontId="23" fillId="9" borderId="75" xfId="0" applyNumberFormat="1" applyFont="1" applyFill="1" applyBorder="1" applyAlignment="1">
      <alignment horizontal="center" vertical="center"/>
    </xf>
    <xf numFmtId="0" fontId="31" fillId="0" borderId="0" xfId="0" applyFont="1" applyBorder="1" applyAlignment="1">
      <alignment horizontal="center" vertical="center"/>
    </xf>
    <xf numFmtId="0" fontId="10" fillId="6" borderId="78" xfId="0" applyFont="1" applyFill="1" applyBorder="1" applyAlignment="1">
      <alignment vertical="center"/>
    </xf>
    <xf numFmtId="0" fontId="10" fillId="6" borderId="73" xfId="0" applyFont="1" applyFill="1" applyBorder="1" applyAlignment="1">
      <alignment vertical="center"/>
    </xf>
    <xf numFmtId="1" fontId="56" fillId="9" borderId="11" xfId="0" applyNumberFormat="1" applyFont="1" applyFill="1" applyBorder="1" applyAlignment="1">
      <alignment horizontal="center" vertical="center"/>
    </xf>
    <xf numFmtId="1" fontId="56" fillId="9" borderId="12" xfId="0" applyNumberFormat="1" applyFont="1" applyFill="1" applyBorder="1" applyAlignment="1">
      <alignment horizontal="center" vertical="center"/>
    </xf>
    <xf numFmtId="1" fontId="23" fillId="9" borderId="76" xfId="0" applyNumberFormat="1" applyFont="1" applyFill="1" applyBorder="1" applyAlignment="1">
      <alignment horizontal="center" vertical="center"/>
    </xf>
    <xf numFmtId="1" fontId="23" fillId="9" borderId="77" xfId="0" applyNumberFormat="1" applyFont="1" applyFill="1" applyBorder="1" applyAlignment="1">
      <alignment horizontal="center" vertical="center"/>
    </xf>
    <xf numFmtId="2" fontId="23" fillId="9" borderId="81" xfId="0" applyNumberFormat="1" applyFont="1" applyFill="1" applyBorder="1" applyAlignment="1">
      <alignment horizontal="center" vertical="center"/>
    </xf>
    <xf numFmtId="2" fontId="54" fillId="9" borderId="11" xfId="0" applyNumberFormat="1" applyFont="1" applyFill="1" applyBorder="1" applyAlignment="1">
      <alignment horizontal="center" vertical="center"/>
    </xf>
    <xf numFmtId="9" fontId="22" fillId="9" borderId="67" xfId="0" applyNumberFormat="1" applyFont="1" applyFill="1" applyBorder="1" applyAlignment="1">
      <alignment horizontal="center" vertical="center"/>
    </xf>
    <xf numFmtId="9" fontId="22" fillId="9" borderId="68" xfId="0" applyNumberFormat="1" applyFont="1" applyFill="1" applyBorder="1" applyAlignment="1">
      <alignment horizontal="center" vertical="center"/>
    </xf>
    <xf numFmtId="9" fontId="22" fillId="9" borderId="69" xfId="0" applyNumberFormat="1" applyFont="1" applyFill="1" applyBorder="1" applyAlignment="1">
      <alignment horizontal="center" vertical="center"/>
    </xf>
    <xf numFmtId="9" fontId="22" fillId="9" borderId="70" xfId="0" applyNumberFormat="1" applyFont="1" applyFill="1" applyBorder="1" applyAlignment="1">
      <alignment horizontal="center" vertical="center"/>
    </xf>
    <xf numFmtId="9" fontId="22" fillId="9" borderId="71" xfId="0" applyNumberFormat="1" applyFont="1" applyFill="1" applyBorder="1" applyAlignment="1">
      <alignment horizontal="center" vertical="center"/>
    </xf>
    <xf numFmtId="9" fontId="22" fillId="9" borderId="72" xfId="0" applyNumberFormat="1" applyFont="1" applyFill="1" applyBorder="1" applyAlignment="1">
      <alignment horizontal="center" vertical="center"/>
    </xf>
    <xf numFmtId="0" fontId="77" fillId="0" borderId="0" xfId="0" applyFont="1" applyAlignment="1" applyProtection="1">
      <alignment vertical="center"/>
    </xf>
    <xf numFmtId="0" fontId="78" fillId="0" borderId="0" xfId="0" applyFont="1" applyAlignment="1" applyProtection="1">
      <alignment vertical="center"/>
    </xf>
    <xf numFmtId="0" fontId="31" fillId="17" borderId="0" xfId="0" applyFont="1" applyFill="1" applyBorder="1" applyAlignment="1" applyProtection="1">
      <alignment vertical="center"/>
    </xf>
    <xf numFmtId="2" fontId="31" fillId="17" borderId="0" xfId="0" applyNumberFormat="1" applyFont="1" applyFill="1" applyBorder="1" applyAlignment="1" applyProtection="1">
      <alignment horizontal="center" vertical="center"/>
    </xf>
    <xf numFmtId="167" fontId="31" fillId="17" borderId="0" xfId="0" applyNumberFormat="1" applyFont="1" applyFill="1" applyBorder="1" applyAlignment="1" applyProtection="1">
      <alignment horizontal="center" vertical="center"/>
    </xf>
    <xf numFmtId="0" fontId="23" fillId="6" borderId="0" xfId="0" applyFont="1" applyFill="1" applyBorder="1" applyAlignment="1" applyProtection="1">
      <alignment vertical="center"/>
    </xf>
    <xf numFmtId="167" fontId="23" fillId="6" borderId="0" xfId="15" applyNumberFormat="1" applyFont="1" applyFill="1" applyBorder="1" applyAlignment="1" applyProtection="1">
      <alignment horizontal="center" vertical="center"/>
    </xf>
    <xf numFmtId="0" fontId="67" fillId="6" borderId="0" xfId="0" applyFont="1" applyFill="1" applyBorder="1" applyAlignment="1" applyProtection="1">
      <alignment vertical="center"/>
    </xf>
    <xf numFmtId="0" fontId="56" fillId="6" borderId="0" xfId="0" applyFont="1" applyFill="1" applyBorder="1" applyAlignment="1" applyProtection="1">
      <alignment vertical="center"/>
    </xf>
    <xf numFmtId="2" fontId="50" fillId="4" borderId="23" xfId="16" applyNumberFormat="1" applyFont="1" applyFill="1" applyBorder="1" applyAlignment="1" applyProtection="1">
      <alignment horizontal="center" vertical="center"/>
    </xf>
    <xf numFmtId="166" fontId="50" fillId="4" borderId="23" xfId="16" applyNumberFormat="1" applyFont="1" applyFill="1" applyBorder="1" applyAlignment="1" applyProtection="1">
      <alignment horizontal="center" vertical="center"/>
    </xf>
    <xf numFmtId="167" fontId="67" fillId="6" borderId="0" xfId="15" applyNumberFormat="1" applyFont="1" applyFill="1" applyBorder="1" applyAlignment="1" applyProtection="1">
      <alignment horizontal="center" vertical="center"/>
    </xf>
    <xf numFmtId="164" fontId="67" fillId="6" borderId="0" xfId="15" applyNumberFormat="1" applyFont="1" applyFill="1" applyBorder="1" applyAlignment="1" applyProtection="1">
      <alignment horizontal="center" vertical="center"/>
    </xf>
    <xf numFmtId="0" fontId="79" fillId="6" borderId="0" xfId="0" applyFont="1" applyFill="1" applyBorder="1" applyAlignment="1" applyProtection="1">
      <alignment vertical="center"/>
    </xf>
    <xf numFmtId="10" fontId="50" fillId="4" borderId="23" xfId="16" applyNumberFormat="1" applyFont="1" applyFill="1" applyBorder="1" applyAlignment="1" applyProtection="1">
      <alignment horizontal="center" vertical="center"/>
    </xf>
    <xf numFmtId="168" fontId="48" fillId="0" borderId="0" xfId="0" applyNumberFormat="1" applyFont="1" applyFill="1" applyBorder="1" applyAlignment="1" applyProtection="1">
      <alignment horizontal="center" vertical="center"/>
    </xf>
    <xf numFmtId="1" fontId="34" fillId="8" borderId="48" xfId="0" applyNumberFormat="1" applyFont="1" applyFill="1" applyBorder="1" applyAlignment="1">
      <alignment horizontal="center" vertical="center"/>
    </xf>
    <xf numFmtId="167" fontId="65" fillId="0" borderId="0" xfId="15" applyNumberFormat="1" applyFont="1" applyAlignment="1">
      <alignment vertical="center"/>
    </xf>
    <xf numFmtId="167" fontId="14" fillId="0" borderId="0" xfId="15" applyNumberFormat="1" applyFont="1" applyAlignment="1">
      <alignment vertical="center"/>
    </xf>
    <xf numFmtId="164" fontId="65" fillId="0" borderId="0" xfId="0" applyNumberFormat="1" applyFont="1" applyAlignment="1">
      <alignment vertical="center"/>
    </xf>
    <xf numFmtId="167" fontId="14" fillId="0" borderId="0" xfId="0" applyNumberFormat="1" applyFont="1" applyAlignment="1">
      <alignment vertical="center"/>
    </xf>
    <xf numFmtId="167" fontId="65" fillId="0" borderId="0" xfId="0" applyNumberFormat="1" applyFont="1" applyAlignment="1">
      <alignment vertical="center"/>
    </xf>
    <xf numFmtId="9" fontId="0" fillId="0" borderId="0" xfId="0" applyNumberFormat="1" applyAlignment="1">
      <alignment horizontal="center" vertical="center"/>
    </xf>
    <xf numFmtId="1" fontId="56" fillId="9" borderId="76" xfId="0" applyNumberFormat="1" applyFont="1" applyFill="1" applyBorder="1" applyAlignment="1">
      <alignment horizontal="center" vertical="center"/>
    </xf>
    <xf numFmtId="1" fontId="56" fillId="9" borderId="77" xfId="0" applyNumberFormat="1" applyFont="1" applyFill="1" applyBorder="1" applyAlignment="1">
      <alignment horizontal="center" vertical="center"/>
    </xf>
    <xf numFmtId="10" fontId="0" fillId="0" borderId="0" xfId="16" applyNumberFormat="1" applyFont="1" applyAlignment="1">
      <alignment horizontal="center" vertical="center"/>
    </xf>
    <xf numFmtId="171" fontId="0" fillId="0" borderId="0" xfId="0" applyNumberFormat="1" applyFill="1" applyBorder="1" applyAlignment="1" applyProtection="1">
      <alignment horizontal="center"/>
    </xf>
    <xf numFmtId="2" fontId="0" fillId="0" borderId="0" xfId="0" applyNumberFormat="1" applyAlignment="1">
      <alignment horizontal="center" vertical="center"/>
    </xf>
    <xf numFmtId="174" fontId="22" fillId="0" borderId="0" xfId="15" applyNumberFormat="1"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22" fillId="18" borderId="0" xfId="0" applyNumberFormat="1" applyFont="1" applyFill="1" applyBorder="1" applyAlignment="1">
      <alignment horizontal="center" vertical="center"/>
    </xf>
    <xf numFmtId="2" fontId="23" fillId="18" borderId="45" xfId="0" applyNumberFormat="1" applyFont="1" applyFill="1" applyBorder="1" applyAlignment="1">
      <alignment horizontal="center" vertical="center"/>
    </xf>
    <xf numFmtId="1" fontId="22" fillId="8" borderId="0" xfId="0" applyNumberFormat="1" applyFont="1" applyFill="1" applyBorder="1" applyAlignment="1">
      <alignment horizontal="center" vertical="center"/>
    </xf>
    <xf numFmtId="2" fontId="23" fillId="8" borderId="45" xfId="0" applyNumberFormat="1" applyFont="1" applyFill="1" applyBorder="1" applyAlignment="1">
      <alignment horizontal="center" vertical="center"/>
    </xf>
    <xf numFmtId="0" fontId="24" fillId="7" borderId="0" xfId="0" applyFont="1" applyFill="1"/>
    <xf numFmtId="2" fontId="48" fillId="7" borderId="0" xfId="0" applyNumberFormat="1" applyFont="1" applyFill="1" applyAlignment="1">
      <alignment horizontal="center" vertical="center"/>
    </xf>
    <xf numFmtId="2" fontId="0" fillId="11" borderId="42" xfId="0" applyNumberFormat="1" applyFill="1" applyBorder="1" applyAlignment="1">
      <alignment horizontal="center" vertical="center"/>
    </xf>
    <xf numFmtId="0" fontId="22" fillId="11" borderId="0" xfId="0" applyFont="1" applyFill="1" applyBorder="1" applyAlignment="1">
      <alignment horizontal="center" vertical="center"/>
    </xf>
    <xf numFmtId="0" fontId="22" fillId="6" borderId="0" xfId="0" applyFont="1" applyFill="1" applyBorder="1" applyAlignment="1">
      <alignment horizontal="center" vertical="center"/>
    </xf>
    <xf numFmtId="2" fontId="0" fillId="6" borderId="42" xfId="0" applyNumberFormat="1" applyFill="1" applyBorder="1" applyAlignment="1">
      <alignment horizontal="center" vertical="center"/>
    </xf>
    <xf numFmtId="0" fontId="32" fillId="2" borderId="14" xfId="0" applyFont="1" applyFill="1" applyBorder="1" applyAlignment="1" applyProtection="1">
      <alignment horizontal="center" vertical="center"/>
    </xf>
    <xf numFmtId="2" fontId="23" fillId="18" borderId="82" xfId="0" applyNumberFormat="1" applyFont="1" applyFill="1" applyBorder="1" applyAlignment="1">
      <alignment horizontal="center" vertical="center"/>
    </xf>
    <xf numFmtId="2" fontId="23" fillId="8" borderId="82" xfId="0" applyNumberFormat="1" applyFont="1" applyFill="1" applyBorder="1" applyAlignment="1">
      <alignment horizontal="center" vertical="center"/>
    </xf>
    <xf numFmtId="0" fontId="22" fillId="6" borderId="58" xfId="0" applyFont="1" applyFill="1" applyBorder="1" applyAlignment="1">
      <alignment horizontal="center" vertical="center"/>
    </xf>
    <xf numFmtId="2" fontId="0" fillId="6" borderId="84" xfId="0" applyNumberFormat="1" applyFill="1" applyBorder="1" applyAlignment="1">
      <alignment horizontal="center" vertical="center"/>
    </xf>
    <xf numFmtId="0" fontId="0" fillId="6" borderId="31" xfId="0" applyFill="1" applyBorder="1" applyAlignment="1">
      <alignment horizontal="center" vertical="center"/>
    </xf>
    <xf numFmtId="0" fontId="0" fillId="6" borderId="83" xfId="0" applyFill="1" applyBorder="1" applyAlignment="1">
      <alignment horizontal="center" vertical="center"/>
    </xf>
    <xf numFmtId="1" fontId="23" fillId="9" borderId="31" xfId="0" applyNumberFormat="1" applyFont="1" applyFill="1" applyBorder="1" applyAlignment="1">
      <alignment horizontal="center" vertical="center"/>
    </xf>
    <xf numFmtId="1" fontId="56" fillId="9" borderId="83" xfId="0" applyNumberFormat="1" applyFont="1" applyFill="1" applyBorder="1" applyAlignment="1">
      <alignment horizontal="center" vertical="center"/>
    </xf>
    <xf numFmtId="1" fontId="23" fillId="9" borderId="83" xfId="0" applyNumberFormat="1" applyFont="1" applyFill="1" applyBorder="1" applyAlignment="1">
      <alignment horizontal="center" vertical="center"/>
    </xf>
    <xf numFmtId="0" fontId="0" fillId="6" borderId="37" xfId="0" applyFill="1" applyBorder="1" applyAlignment="1">
      <alignment horizontal="center" vertical="center"/>
    </xf>
    <xf numFmtId="0" fontId="0" fillId="6" borderId="82" xfId="0" applyFill="1" applyBorder="1" applyAlignment="1">
      <alignment horizontal="center" vertical="center"/>
    </xf>
    <xf numFmtId="1" fontId="23" fillId="9" borderId="82" xfId="0" applyNumberFormat="1" applyFont="1" applyFill="1" applyBorder="1" applyAlignment="1">
      <alignment horizontal="center" vertical="center"/>
    </xf>
    <xf numFmtId="1" fontId="0" fillId="9" borderId="82" xfId="0" applyNumberFormat="1" applyFill="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6" borderId="30" xfId="0" applyFill="1" applyBorder="1" applyAlignment="1">
      <alignment vertical="center"/>
    </xf>
    <xf numFmtId="0" fontId="0" fillId="6" borderId="36" xfId="0" applyFill="1" applyBorder="1" applyAlignment="1">
      <alignment vertical="center"/>
    </xf>
    <xf numFmtId="0" fontId="0" fillId="6" borderId="66" xfId="0" applyFill="1" applyBorder="1" applyAlignment="1">
      <alignment vertical="center"/>
    </xf>
    <xf numFmtId="1" fontId="0" fillId="9" borderId="85" xfId="0" applyNumberFormat="1" applyFill="1" applyBorder="1" applyAlignment="1">
      <alignment horizontal="center" vertical="center"/>
    </xf>
    <xf numFmtId="0" fontId="0" fillId="6" borderId="86" xfId="0" applyFill="1" applyBorder="1" applyAlignment="1">
      <alignment vertical="center"/>
    </xf>
    <xf numFmtId="1" fontId="56" fillId="9" borderId="87" xfId="0" applyNumberFormat="1" applyFont="1" applyFill="1" applyBorder="1" applyAlignment="1">
      <alignment horizontal="center" vertical="center"/>
    </xf>
    <xf numFmtId="0" fontId="0" fillId="6" borderId="50" xfId="0" applyFill="1" applyBorder="1" applyAlignment="1">
      <alignment vertical="center"/>
    </xf>
    <xf numFmtId="0" fontId="0" fillId="6" borderId="51" xfId="0" applyFill="1" applyBorder="1" applyAlignment="1">
      <alignment horizontal="center" vertical="center"/>
    </xf>
    <xf numFmtId="1" fontId="56" fillId="9" borderId="51" xfId="0" applyNumberFormat="1" applyFont="1" applyFill="1" applyBorder="1" applyAlignment="1">
      <alignment horizontal="center" vertical="center"/>
    </xf>
    <xf numFmtId="1" fontId="56" fillId="9" borderId="53" xfId="0" applyNumberFormat="1" applyFont="1" applyFill="1" applyBorder="1" applyAlignment="1">
      <alignment horizontal="center" vertical="center"/>
    </xf>
    <xf numFmtId="3" fontId="50" fillId="4" borderId="17" xfId="16" applyNumberFormat="1" applyFont="1" applyFill="1" applyBorder="1" applyAlignment="1" applyProtection="1">
      <alignment horizontal="center" vertical="center"/>
    </xf>
    <xf numFmtId="1" fontId="23" fillId="9" borderId="32" xfId="0" applyNumberFormat="1" applyFont="1" applyFill="1" applyBorder="1" applyAlignment="1">
      <alignment horizontal="center" vertical="center"/>
    </xf>
    <xf numFmtId="0" fontId="0" fillId="0" borderId="0" xfId="0" applyAlignment="1">
      <alignment horizontal="center"/>
    </xf>
    <xf numFmtId="0" fontId="0" fillId="7" borderId="0" xfId="0" applyFill="1" applyAlignment="1">
      <alignment vertical="center"/>
    </xf>
    <xf numFmtId="0" fontId="34" fillId="0" borderId="0" xfId="0" applyFont="1"/>
    <xf numFmtId="0" fontId="10" fillId="6" borderId="88" xfId="0" applyFont="1" applyFill="1" applyBorder="1" applyAlignment="1">
      <alignment vertical="center"/>
    </xf>
    <xf numFmtId="3" fontId="54" fillId="19" borderId="90" xfId="0" applyNumberFormat="1" applyFont="1" applyFill="1" applyBorder="1" applyAlignment="1">
      <alignment vertical="center" wrapText="1"/>
    </xf>
    <xf numFmtId="3" fontId="54" fillId="19" borderId="91" xfId="0" applyNumberFormat="1" applyFont="1" applyFill="1" applyBorder="1" applyAlignment="1">
      <alignment vertical="center" wrapText="1"/>
    </xf>
    <xf numFmtId="3" fontId="54" fillId="19" borderId="92" xfId="0" applyNumberFormat="1" applyFont="1" applyFill="1" applyBorder="1" applyAlignment="1">
      <alignment vertical="center" wrapText="1"/>
    </xf>
    <xf numFmtId="0" fontId="80" fillId="0" borderId="0" xfId="0" applyFont="1"/>
    <xf numFmtId="1" fontId="56" fillId="9" borderId="33" xfId="0" applyNumberFormat="1" applyFont="1" applyFill="1" applyBorder="1" applyAlignment="1">
      <alignment horizontal="center" vertical="center"/>
    </xf>
    <xf numFmtId="1" fontId="56" fillId="9" borderId="0" xfId="0" applyNumberFormat="1" applyFont="1" applyFill="1" applyBorder="1" applyAlignment="1">
      <alignment horizontal="center" vertical="center"/>
    </xf>
    <xf numFmtId="1" fontId="56" fillId="9" borderId="28" xfId="0" applyNumberFormat="1" applyFont="1" applyFill="1" applyBorder="1" applyAlignment="1">
      <alignment horizontal="center" vertical="center"/>
    </xf>
    <xf numFmtId="1" fontId="56" fillId="9" borderId="73" xfId="0" applyNumberFormat="1" applyFont="1" applyFill="1" applyBorder="1" applyAlignment="1">
      <alignment horizontal="center" vertical="center"/>
    </xf>
    <xf numFmtId="1" fontId="56" fillId="9" borderId="74" xfId="0" applyNumberFormat="1" applyFont="1" applyFill="1" applyBorder="1" applyAlignment="1">
      <alignment horizontal="center" vertical="center"/>
    </xf>
    <xf numFmtId="1" fontId="56" fillId="9" borderId="75" xfId="0" applyNumberFormat="1" applyFont="1" applyFill="1" applyBorder="1" applyAlignment="1">
      <alignment horizontal="center" vertical="center"/>
    </xf>
    <xf numFmtId="0" fontId="71" fillId="0" borderId="0" xfId="0" applyFont="1" applyAlignment="1">
      <alignment horizontal="center" vertical="center" wrapText="1"/>
    </xf>
    <xf numFmtId="0" fontId="26" fillId="0" borderId="0" xfId="0" applyFont="1" applyAlignment="1">
      <alignment vertical="center" wrapText="1"/>
    </xf>
    <xf numFmtId="0" fontId="32" fillId="0" borderId="43" xfId="0" applyFont="1" applyFill="1" applyBorder="1" applyAlignment="1">
      <alignment horizontal="center" vertical="center"/>
    </xf>
    <xf numFmtId="0" fontId="0" fillId="3" borderId="105" xfId="0" applyFill="1" applyBorder="1" applyAlignment="1" applyProtection="1">
      <alignment vertical="center"/>
    </xf>
    <xf numFmtId="0" fontId="56" fillId="9" borderId="57" xfId="0" applyFont="1" applyFill="1" applyBorder="1" applyAlignment="1">
      <alignment horizontal="center" vertical="center"/>
    </xf>
    <xf numFmtId="0" fontId="56" fillId="9" borderId="17" xfId="0" applyFont="1" applyFill="1" applyBorder="1" applyAlignment="1">
      <alignment horizontal="center" vertical="center"/>
    </xf>
    <xf numFmtId="0" fontId="31" fillId="2" borderId="80" xfId="0" applyFont="1" applyFill="1" applyBorder="1" applyAlignment="1" applyProtection="1">
      <alignment vertical="center"/>
    </xf>
    <xf numFmtId="1" fontId="31" fillId="2" borderId="62" xfId="0" applyNumberFormat="1" applyFont="1" applyFill="1" applyBorder="1" applyAlignment="1" applyProtection="1">
      <alignment horizontal="center" vertical="center"/>
    </xf>
    <xf numFmtId="1" fontId="31" fillId="2" borderId="25" xfId="0" applyNumberFormat="1" applyFont="1" applyFill="1" applyBorder="1" applyAlignment="1" applyProtection="1">
      <alignment horizontal="center" vertical="center"/>
    </xf>
    <xf numFmtId="0" fontId="8" fillId="3" borderId="16" xfId="0" applyFont="1" applyFill="1" applyBorder="1" applyAlignment="1" applyProtection="1">
      <alignment vertical="center"/>
    </xf>
    <xf numFmtId="3" fontId="50" fillId="4" borderId="23" xfId="16" applyNumberFormat="1" applyFont="1" applyFill="1" applyBorder="1" applyAlignment="1" applyProtection="1">
      <alignment horizontal="center" vertical="center"/>
    </xf>
    <xf numFmtId="9" fontId="50" fillId="4" borderId="23" xfId="16" applyFont="1" applyFill="1" applyBorder="1" applyAlignment="1" applyProtection="1">
      <alignment horizontal="center" vertical="center"/>
    </xf>
    <xf numFmtId="9" fontId="50" fillId="4" borderId="21" xfId="16" applyFont="1" applyFill="1" applyBorder="1" applyAlignment="1" applyProtection="1">
      <alignment horizontal="center" vertical="center"/>
    </xf>
    <xf numFmtId="1" fontId="50" fillId="4" borderId="23" xfId="16" applyNumberFormat="1" applyFont="1" applyFill="1" applyBorder="1" applyAlignment="1" applyProtection="1">
      <alignment horizontal="center" vertical="center"/>
    </xf>
    <xf numFmtId="0" fontId="0" fillId="3" borderId="59" xfId="0" applyFill="1" applyBorder="1" applyAlignment="1" applyProtection="1">
      <alignment vertical="center"/>
    </xf>
    <xf numFmtId="3" fontId="50" fillId="4" borderId="84" xfId="16" applyNumberFormat="1" applyFont="1" applyFill="1" applyBorder="1" applyAlignment="1" applyProtection="1">
      <alignment horizontal="center" vertical="center"/>
    </xf>
    <xf numFmtId="0" fontId="26" fillId="7" borderId="0" xfId="0" applyFont="1" applyFill="1" applyAlignment="1">
      <alignment vertical="center"/>
    </xf>
    <xf numFmtId="9" fontId="24" fillId="7" borderId="0" xfId="16" applyFont="1" applyFill="1" applyAlignment="1">
      <alignment vertical="center"/>
    </xf>
    <xf numFmtId="0" fontId="7" fillId="3" borderId="16" xfId="0" applyFont="1" applyFill="1" applyBorder="1" applyAlignment="1" applyProtection="1">
      <alignment vertical="center" wrapText="1"/>
    </xf>
    <xf numFmtId="167" fontId="54" fillId="9" borderId="17" xfId="15" applyNumberFormat="1" applyFont="1" applyFill="1" applyBorder="1" applyAlignment="1">
      <alignment horizontal="center" vertical="center"/>
    </xf>
    <xf numFmtId="0" fontId="0" fillId="0" borderId="22" xfId="0" applyBorder="1" applyAlignment="1">
      <alignment vertical="center"/>
    </xf>
    <xf numFmtId="0" fontId="0" fillId="0" borderId="18" xfId="0" applyBorder="1" applyAlignment="1">
      <alignment vertical="center"/>
    </xf>
    <xf numFmtId="0" fontId="0" fillId="0" borderId="55" xfId="0" applyBorder="1" applyAlignment="1">
      <alignment vertical="center"/>
    </xf>
    <xf numFmtId="2" fontId="23" fillId="18" borderId="37" xfId="0" applyNumberFormat="1" applyFont="1" applyFill="1" applyBorder="1" applyAlignment="1">
      <alignment horizontal="center" vertical="center"/>
    </xf>
    <xf numFmtId="2" fontId="0" fillId="11" borderId="45" xfId="0" applyNumberFormat="1" applyFill="1" applyBorder="1" applyAlignment="1">
      <alignment horizontal="center" vertical="center"/>
    </xf>
    <xf numFmtId="2" fontId="0" fillId="6" borderId="45" xfId="0" applyNumberFormat="1" applyFill="1" applyBorder="1" applyAlignment="1">
      <alignment horizontal="center" vertical="center"/>
    </xf>
    <xf numFmtId="2" fontId="0" fillId="6" borderId="23" xfId="0" applyNumberFormat="1" applyFill="1" applyBorder="1" applyAlignment="1">
      <alignment horizontal="center" vertical="center"/>
    </xf>
    <xf numFmtId="2" fontId="7" fillId="11" borderId="82" xfId="0" applyNumberFormat="1" applyFont="1" applyFill="1" applyBorder="1" applyAlignment="1">
      <alignment horizontal="center" vertical="center"/>
    </xf>
    <xf numFmtId="2" fontId="7" fillId="6" borderId="82" xfId="0" applyNumberFormat="1" applyFont="1" applyFill="1" applyBorder="1" applyAlignment="1">
      <alignment horizontal="center" vertical="center"/>
    </xf>
    <xf numFmtId="2" fontId="7" fillId="6" borderId="19" xfId="0" applyNumberFormat="1" applyFont="1" applyFill="1" applyBorder="1" applyAlignment="1">
      <alignment horizontal="center" vertical="center"/>
    </xf>
    <xf numFmtId="0" fontId="32" fillId="2" borderId="1" xfId="0" applyFont="1" applyFill="1" applyBorder="1" applyAlignment="1" applyProtection="1">
      <alignment vertical="center"/>
    </xf>
    <xf numFmtId="3" fontId="23" fillId="7" borderId="82" xfId="0" applyNumberFormat="1" applyFont="1" applyFill="1" applyBorder="1" applyAlignment="1">
      <alignment horizontal="center" vertical="center"/>
    </xf>
    <xf numFmtId="3" fontId="23" fillId="7" borderId="19" xfId="0" applyNumberFormat="1" applyFont="1" applyFill="1" applyBorder="1" applyAlignment="1">
      <alignment horizontal="center" vertical="center"/>
    </xf>
    <xf numFmtId="0" fontId="7" fillId="16" borderId="22" xfId="0" applyFont="1" applyFill="1" applyBorder="1" applyAlignment="1">
      <alignment vertical="center"/>
    </xf>
    <xf numFmtId="3" fontId="23" fillId="7" borderId="45" xfId="0" applyNumberFormat="1" applyFont="1" applyFill="1" applyBorder="1" applyAlignment="1">
      <alignment horizontal="center" vertical="center"/>
    </xf>
    <xf numFmtId="3" fontId="23" fillId="7" borderId="23" xfId="0" applyNumberFormat="1" applyFont="1" applyFill="1" applyBorder="1" applyAlignment="1">
      <alignment horizontal="center" vertical="center"/>
    </xf>
    <xf numFmtId="0" fontId="7" fillId="16" borderId="55" xfId="0" applyFont="1" applyFill="1" applyBorder="1" applyAlignment="1">
      <alignment vertical="center"/>
    </xf>
    <xf numFmtId="3" fontId="23" fillId="7" borderId="37" xfId="0" applyNumberFormat="1" applyFont="1" applyFill="1" applyBorder="1" applyAlignment="1">
      <alignment horizontal="center" vertical="center"/>
    </xf>
    <xf numFmtId="3" fontId="23" fillId="7" borderId="56" xfId="0" applyNumberFormat="1" applyFont="1" applyFill="1" applyBorder="1" applyAlignment="1">
      <alignment horizontal="center" vertical="center"/>
    </xf>
    <xf numFmtId="0" fontId="22" fillId="16" borderId="16" xfId="0" applyFont="1" applyFill="1" applyBorder="1" applyAlignment="1">
      <alignment vertical="center"/>
    </xf>
    <xf numFmtId="2" fontId="0" fillId="11" borderId="0" xfId="0" applyNumberFormat="1" applyFill="1" applyBorder="1" applyAlignment="1">
      <alignment horizontal="center" vertical="center"/>
    </xf>
    <xf numFmtId="2" fontId="0" fillId="6" borderId="0" xfId="0" applyNumberFormat="1" applyFill="1" applyBorder="1" applyAlignment="1">
      <alignment horizontal="center" vertical="center"/>
    </xf>
    <xf numFmtId="2" fontId="0" fillId="6" borderId="58" xfId="0" applyNumberFormat="1" applyFill="1" applyBorder="1" applyAlignment="1">
      <alignment horizontal="center" vertical="center"/>
    </xf>
    <xf numFmtId="0" fontId="22" fillId="0" borderId="16" xfId="0" applyFont="1" applyBorder="1" applyAlignment="1">
      <alignment vertical="center"/>
    </xf>
    <xf numFmtId="2" fontId="56" fillId="18" borderId="57" xfId="0" applyNumberFormat="1" applyFont="1" applyFill="1" applyBorder="1" applyAlignment="1">
      <alignment horizontal="center" vertical="center"/>
    </xf>
    <xf numFmtId="2" fontId="56" fillId="8" borderId="57" xfId="0" applyNumberFormat="1" applyFont="1" applyFill="1" applyBorder="1" applyAlignment="1">
      <alignment horizontal="center" vertical="center"/>
    </xf>
    <xf numFmtId="2" fontId="22" fillId="11" borderId="57" xfId="0" applyNumberFormat="1" applyFont="1" applyFill="1" applyBorder="1" applyAlignment="1">
      <alignment horizontal="center" vertical="center"/>
    </xf>
    <xf numFmtId="2" fontId="22" fillId="6" borderId="57" xfId="0" applyNumberFormat="1" applyFont="1" applyFill="1" applyBorder="1" applyAlignment="1">
      <alignment horizontal="center" vertical="center"/>
    </xf>
    <xf numFmtId="2" fontId="22" fillId="6" borderId="17" xfId="0" applyNumberFormat="1"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Border="1" applyAlignment="1">
      <alignment horizontal="center" vertical="center"/>
    </xf>
    <xf numFmtId="0" fontId="26" fillId="7" borderId="0" xfId="0" applyFont="1" applyFill="1" applyAlignment="1">
      <alignment horizontal="center" vertical="center"/>
    </xf>
    <xf numFmtId="1" fontId="26" fillId="0" borderId="0" xfId="0" applyNumberFormat="1" applyFont="1" applyAlignment="1">
      <alignment horizontal="center" vertical="center"/>
    </xf>
    <xf numFmtId="9" fontId="26" fillId="0" borderId="0" xfId="0" applyNumberFormat="1" applyFont="1" applyAlignment="1">
      <alignment horizontal="center" vertical="center" wrapText="1"/>
    </xf>
    <xf numFmtId="0" fontId="31" fillId="2" borderId="16" xfId="0" applyFont="1" applyFill="1" applyBorder="1" applyAlignment="1" applyProtection="1">
      <alignment horizontal="center" vertical="center"/>
    </xf>
    <xf numFmtId="0" fontId="51" fillId="2" borderId="0" xfId="0" applyFont="1" applyFill="1" applyAlignment="1">
      <alignment vertical="center"/>
    </xf>
    <xf numFmtId="0" fontId="51" fillId="2" borderId="5" xfId="0" applyFont="1" applyFill="1" applyBorder="1" applyAlignment="1">
      <alignment vertical="center"/>
    </xf>
    <xf numFmtId="0" fontId="51" fillId="7" borderId="0" xfId="0" applyFont="1" applyFill="1" applyAlignment="1">
      <alignment vertical="center"/>
    </xf>
    <xf numFmtId="0" fontId="51" fillId="0" borderId="0" xfId="0" applyFont="1" applyAlignment="1">
      <alignment vertical="center"/>
    </xf>
    <xf numFmtId="0" fontId="82" fillId="0" borderId="0" xfId="0" applyFont="1" applyAlignment="1">
      <alignment vertical="center"/>
    </xf>
    <xf numFmtId="0" fontId="83" fillId="0" borderId="0" xfId="0" applyFont="1" applyAlignment="1">
      <alignment horizontal="center" vertical="center"/>
    </xf>
    <xf numFmtId="0" fontId="0" fillId="0" borderId="62" xfId="0" applyBorder="1"/>
    <xf numFmtId="0" fontId="50" fillId="0" borderId="62" xfId="0" applyFont="1" applyBorder="1"/>
    <xf numFmtId="2" fontId="7" fillId="11" borderId="37" xfId="0" applyNumberFormat="1" applyFont="1" applyFill="1" applyBorder="1" applyAlignment="1">
      <alignment horizontal="center" vertical="center"/>
    </xf>
    <xf numFmtId="2" fontId="7" fillId="6" borderId="37" xfId="0" applyNumberFormat="1" applyFont="1" applyFill="1" applyBorder="1" applyAlignment="1">
      <alignment horizontal="center" vertical="center"/>
    </xf>
    <xf numFmtId="2" fontId="7" fillId="6" borderId="56" xfId="0" applyNumberFormat="1" applyFont="1" applyFill="1" applyBorder="1" applyAlignment="1">
      <alignment horizontal="center" vertical="center"/>
    </xf>
    <xf numFmtId="0" fontId="7" fillId="16" borderId="45" xfId="0" applyFont="1" applyFill="1" applyBorder="1" applyAlignment="1">
      <alignment vertical="center"/>
    </xf>
    <xf numFmtId="0" fontId="7" fillId="16" borderId="37" xfId="0" applyFont="1" applyFill="1" applyBorder="1" applyAlignment="1">
      <alignment vertical="center"/>
    </xf>
    <xf numFmtId="0" fontId="22" fillId="16" borderId="57" xfId="0" applyFont="1" applyFill="1" applyBorder="1" applyAlignment="1">
      <alignment vertical="center"/>
    </xf>
    <xf numFmtId="0" fontId="22" fillId="0" borderId="57" xfId="0" applyFont="1" applyBorder="1" applyAlignment="1">
      <alignment vertical="center"/>
    </xf>
    <xf numFmtId="0" fontId="81" fillId="0" borderId="82" xfId="0" applyFont="1" applyFill="1" applyBorder="1" applyAlignment="1">
      <alignment vertical="center"/>
    </xf>
    <xf numFmtId="0" fontId="81" fillId="0" borderId="45" xfId="0" applyFont="1" applyFill="1" applyBorder="1" applyAlignment="1">
      <alignment vertical="center"/>
    </xf>
    <xf numFmtId="0" fontId="81" fillId="0" borderId="83" xfId="0" applyFont="1" applyFill="1" applyBorder="1" applyAlignment="1">
      <alignment vertical="center"/>
    </xf>
    <xf numFmtId="0" fontId="50" fillId="0" borderId="57" xfId="0" applyFont="1" applyFill="1" applyBorder="1" applyAlignment="1">
      <alignment vertical="center"/>
    </xf>
    <xf numFmtId="0" fontId="83" fillId="0" borderId="45" xfId="0" applyFont="1" applyBorder="1" applyAlignment="1">
      <alignment horizontal="center" vertical="center"/>
    </xf>
    <xf numFmtId="0" fontId="83" fillId="0" borderId="83" xfId="0" applyFont="1" applyBorder="1" applyAlignment="1">
      <alignment horizontal="center" vertical="center"/>
    </xf>
    <xf numFmtId="0" fontId="83" fillId="0" borderId="82" xfId="0" applyFont="1" applyBorder="1" applyAlignment="1">
      <alignment horizontal="center" vertical="center"/>
    </xf>
    <xf numFmtId="0" fontId="49" fillId="0" borderId="0" xfId="0" applyFont="1" applyFill="1" applyAlignment="1">
      <alignment horizontal="center" vertical="center"/>
    </xf>
    <xf numFmtId="0" fontId="35" fillId="0" borderId="0" xfId="0" applyFont="1" applyFill="1" applyAlignment="1">
      <alignment horizontal="center" vertical="center"/>
    </xf>
    <xf numFmtId="1" fontId="22" fillId="0" borderId="0" xfId="0" applyNumberFormat="1" applyFont="1" applyFill="1" applyBorder="1" applyAlignment="1" applyProtection="1">
      <alignment horizontal="center" vertical="center"/>
    </xf>
    <xf numFmtId="0" fontId="22" fillId="0" borderId="0" xfId="0" applyFont="1" applyBorder="1" applyAlignment="1" applyProtection="1">
      <alignment vertical="center"/>
    </xf>
    <xf numFmtId="1" fontId="50" fillId="4" borderId="23" xfId="16" applyNumberFormat="1" applyFont="1" applyFill="1" applyBorder="1" applyAlignment="1" applyProtection="1">
      <alignment horizontal="center" vertical="center"/>
    </xf>
    <xf numFmtId="9" fontId="50" fillId="4" borderId="23" xfId="16" applyFont="1" applyFill="1" applyBorder="1" applyAlignment="1" applyProtection="1">
      <alignment horizontal="center" vertical="center"/>
    </xf>
    <xf numFmtId="3" fontId="50" fillId="4" borderId="21" xfId="16" applyNumberFormat="1" applyFont="1" applyFill="1" applyBorder="1" applyAlignment="1" applyProtection="1">
      <alignment horizontal="center" vertical="center"/>
    </xf>
    <xf numFmtId="0" fontId="35" fillId="0" borderId="43" xfId="0" applyFont="1" applyBorder="1" applyAlignment="1">
      <alignment horizontal="center" vertical="center"/>
    </xf>
    <xf numFmtId="2" fontId="0" fillId="0" borderId="0" xfId="0" applyNumberFormat="1"/>
    <xf numFmtId="0" fontId="0" fillId="0" borderId="43" xfId="0" applyBorder="1" applyAlignment="1" applyProtection="1">
      <alignment horizontal="center"/>
    </xf>
    <xf numFmtId="2" fontId="85" fillId="0" borderId="0" xfId="0" applyNumberFormat="1" applyFont="1" applyFill="1" applyBorder="1" applyAlignment="1" applyProtection="1">
      <alignment vertical="center"/>
    </xf>
    <xf numFmtId="164" fontId="0" fillId="0" borderId="0" xfId="0" applyNumberFormat="1" applyProtection="1"/>
    <xf numFmtId="166" fontId="0" fillId="0" borderId="0" xfId="16" applyNumberFormat="1" applyFont="1" applyFill="1" applyBorder="1" applyAlignment="1" applyProtection="1">
      <alignment horizontal="center"/>
    </xf>
    <xf numFmtId="1" fontId="56" fillId="9" borderId="37" xfId="0" applyNumberFormat="1" applyFont="1" applyFill="1" applyBorder="1" applyAlignment="1">
      <alignment horizontal="center" vertical="center"/>
    </xf>
    <xf numFmtId="1" fontId="56" fillId="9" borderId="40" xfId="0" applyNumberFormat="1" applyFont="1" applyFill="1" applyBorder="1" applyAlignment="1">
      <alignment horizontal="center" vertical="center"/>
    </xf>
    <xf numFmtId="3" fontId="55" fillId="19" borderId="99" xfId="0" applyNumberFormat="1" applyFont="1" applyFill="1" applyBorder="1" applyAlignment="1">
      <alignment vertical="center" wrapText="1"/>
    </xf>
    <xf numFmtId="3" fontId="55" fillId="19" borderId="92" xfId="0" applyNumberFormat="1" applyFont="1" applyFill="1" applyBorder="1" applyAlignment="1">
      <alignment vertical="center" wrapText="1"/>
    </xf>
    <xf numFmtId="0" fontId="6" fillId="6" borderId="78" xfId="0" applyFont="1" applyFill="1" applyBorder="1" applyAlignment="1">
      <alignment vertical="center"/>
    </xf>
    <xf numFmtId="0" fontId="6" fillId="6" borderId="73" xfId="0" applyFont="1" applyFill="1" applyBorder="1" applyAlignment="1">
      <alignment vertical="center"/>
    </xf>
    <xf numFmtId="2" fontId="54" fillId="20" borderId="101" xfId="20" applyNumberFormat="1" applyFont="1" applyFill="1" applyBorder="1" applyAlignment="1">
      <alignment horizontal="center" vertical="center"/>
    </xf>
    <xf numFmtId="2" fontId="54" fillId="20" borderId="103" xfId="20" applyNumberFormat="1" applyFont="1" applyFill="1" applyBorder="1" applyAlignment="1">
      <alignment horizontal="center" vertical="center" wrapText="1"/>
    </xf>
    <xf numFmtId="2" fontId="55" fillId="20" borderId="101" xfId="20" applyNumberFormat="1" applyFont="1" applyFill="1" applyBorder="1" applyAlignment="1">
      <alignment horizontal="center" vertical="center" wrapText="1"/>
    </xf>
    <xf numFmtId="2" fontId="55" fillId="20" borderId="102" xfId="20" applyNumberFormat="1" applyFont="1" applyFill="1" applyBorder="1" applyAlignment="1">
      <alignment horizontal="center" vertical="center" wrapText="1"/>
    </xf>
    <xf numFmtId="2" fontId="55" fillId="20" borderId="103" xfId="20" applyNumberFormat="1" applyFont="1" applyFill="1" applyBorder="1" applyAlignment="1">
      <alignment horizontal="center" vertical="center" wrapText="1"/>
    </xf>
    <xf numFmtId="2" fontId="55" fillId="20" borderId="104" xfId="20" applyNumberFormat="1" applyFont="1" applyFill="1" applyBorder="1" applyAlignment="1">
      <alignment horizontal="center" vertical="center" wrapText="1"/>
    </xf>
    <xf numFmtId="0" fontId="23" fillId="7" borderId="0" xfId="45" applyFill="1"/>
    <xf numFmtId="0" fontId="87" fillId="7" borderId="0" xfId="45" applyFont="1" applyFill="1"/>
    <xf numFmtId="0" fontId="88" fillId="7" borderId="0" xfId="36" applyFont="1" applyFill="1"/>
    <xf numFmtId="0" fontId="89" fillId="7" borderId="0" xfId="36" applyFont="1" applyFill="1"/>
    <xf numFmtId="0" fontId="90" fillId="2" borderId="0" xfId="36" applyFont="1" applyFill="1" applyAlignment="1">
      <alignment vertical="center"/>
    </xf>
    <xf numFmtId="0" fontId="90" fillId="2" borderId="0" xfId="36" applyFont="1" applyFill="1" applyAlignment="1">
      <alignment horizontal="center" vertical="center"/>
    </xf>
    <xf numFmtId="0" fontId="87" fillId="7" borderId="0" xfId="45" applyFont="1" applyFill="1" applyAlignment="1">
      <alignment vertical="center"/>
    </xf>
    <xf numFmtId="0" fontId="87" fillId="2" borderId="0" xfId="45" applyFont="1" applyFill="1"/>
    <xf numFmtId="0" fontId="87" fillId="21" borderId="0" xfId="45" applyFont="1" applyFill="1"/>
    <xf numFmtId="0" fontId="24" fillId="2" borderId="0" xfId="45" applyFont="1" applyFill="1"/>
    <xf numFmtId="0" fontId="24" fillId="21" borderId="0" xfId="45" applyFont="1" applyFill="1"/>
    <xf numFmtId="0" fontId="24" fillId="2" borderId="0" xfId="45" applyFont="1" applyFill="1" applyAlignment="1">
      <alignment vertical="center"/>
    </xf>
    <xf numFmtId="0" fontId="24" fillId="21" borderId="0" xfId="45" applyFont="1" applyFill="1" applyAlignment="1">
      <alignment vertical="center"/>
    </xf>
    <xf numFmtId="0" fontId="87" fillId="2" borderId="0" xfId="45" applyFont="1" applyFill="1" applyAlignment="1">
      <alignment vertical="center"/>
    </xf>
    <xf numFmtId="0" fontId="87" fillId="21" borderId="0" xfId="45" applyFont="1" applyFill="1" applyAlignment="1">
      <alignment vertical="center"/>
    </xf>
    <xf numFmtId="0" fontId="87" fillId="0" borderId="0" xfId="45" applyFont="1" applyFill="1"/>
    <xf numFmtId="0" fontId="91" fillId="6" borderId="0" xfId="45" applyFont="1" applyFill="1" applyAlignment="1">
      <alignment vertical="center"/>
    </xf>
    <xf numFmtId="0" fontId="74" fillId="6" borderId="0" xfId="45" applyFont="1" applyFill="1" applyAlignment="1">
      <alignment vertical="center"/>
    </xf>
    <xf numFmtId="0" fontId="23" fillId="7" borderId="0" xfId="45" applyFill="1" applyAlignment="1">
      <alignment vertical="center"/>
    </xf>
    <xf numFmtId="0" fontId="93" fillId="7" borderId="0" xfId="45" applyFont="1" applyFill="1"/>
    <xf numFmtId="0" fontId="51" fillId="6" borderId="0" xfId="45" applyFont="1" applyFill="1" applyAlignment="1">
      <alignment vertical="center"/>
    </xf>
    <xf numFmtId="0" fontId="74" fillId="0" borderId="0" xfId="0" applyFont="1"/>
    <xf numFmtId="0" fontId="94" fillId="2" borderId="24" xfId="0" applyFont="1" applyFill="1" applyBorder="1" applyAlignment="1">
      <alignment vertical="center"/>
    </xf>
    <xf numFmtId="0" fontId="26" fillId="2" borderId="25" xfId="0" applyFont="1" applyFill="1" applyBorder="1"/>
    <xf numFmtId="0" fontId="0" fillId="7" borderId="0" xfId="0" applyFill="1" applyProtection="1"/>
    <xf numFmtId="0" fontId="56" fillId="9" borderId="58" xfId="0" applyFont="1" applyFill="1" applyBorder="1" applyAlignment="1">
      <alignment horizontal="center" vertical="center"/>
    </xf>
    <xf numFmtId="0" fontId="56" fillId="9" borderId="21" xfId="0" applyFont="1" applyFill="1" applyBorder="1" applyAlignment="1">
      <alignment horizontal="center" vertical="center"/>
    </xf>
    <xf numFmtId="0" fontId="54" fillId="9" borderId="17" xfId="0" applyFont="1" applyFill="1" applyBorder="1" applyAlignment="1">
      <alignment horizontal="center" vertical="center"/>
    </xf>
    <xf numFmtId="0" fontId="5" fillId="3" borderId="16" xfId="0" applyFont="1" applyFill="1" applyBorder="1" applyAlignment="1" applyProtection="1">
      <alignment vertical="center"/>
    </xf>
    <xf numFmtId="2" fontId="54" fillId="9" borderId="15" xfId="0" applyNumberFormat="1" applyFont="1" applyFill="1" applyBorder="1" applyAlignment="1">
      <alignment horizontal="center" vertical="center"/>
    </xf>
    <xf numFmtId="0" fontId="77" fillId="0" borderId="0" xfId="0" applyFont="1" applyAlignment="1">
      <alignment vertical="center"/>
    </xf>
    <xf numFmtId="2" fontId="23" fillId="0" borderId="0" xfId="0" applyNumberFormat="1" applyFont="1" applyFill="1" applyBorder="1" applyAlignment="1" applyProtection="1">
      <alignment horizontal="center" vertical="center"/>
    </xf>
    <xf numFmtId="3" fontId="93" fillId="0" borderId="0" xfId="0" applyNumberFormat="1" applyFont="1" applyBorder="1" applyAlignment="1" applyProtection="1">
      <alignment horizontal="center" vertical="center"/>
    </xf>
    <xf numFmtId="167" fontId="0" fillId="0" borderId="0" xfId="15" applyNumberFormat="1" applyFont="1" applyAlignment="1">
      <alignment vertical="center"/>
    </xf>
    <xf numFmtId="9" fontId="24" fillId="7" borderId="0" xfId="0" applyNumberFormat="1" applyFont="1" applyFill="1"/>
    <xf numFmtId="0" fontId="50" fillId="4" borderId="0" xfId="0" applyFont="1" applyFill="1" applyBorder="1" applyAlignment="1" applyProtection="1">
      <alignment horizontal="center" vertical="center"/>
      <protection locked="0"/>
    </xf>
    <xf numFmtId="0" fontId="50" fillId="4" borderId="58" xfId="0" applyFont="1" applyFill="1" applyBorder="1" applyAlignment="1" applyProtection="1">
      <alignment horizontal="center" vertical="center"/>
      <protection locked="0"/>
    </xf>
    <xf numFmtId="0" fontId="50" fillId="4" borderId="83" xfId="0" applyFont="1" applyFill="1" applyBorder="1" applyAlignment="1" applyProtection="1">
      <alignment horizontal="center" vertical="center"/>
      <protection locked="0"/>
    </xf>
    <xf numFmtId="0" fontId="50" fillId="4" borderId="21" xfId="0" applyFont="1" applyFill="1" applyBorder="1" applyAlignment="1" applyProtection="1">
      <alignment horizontal="center" vertical="center"/>
      <protection locked="0"/>
    </xf>
    <xf numFmtId="167" fontId="58" fillId="4" borderId="17" xfId="15" applyNumberFormat="1" applyFont="1" applyFill="1" applyBorder="1" applyAlignment="1" applyProtection="1">
      <alignment horizontal="center" vertical="center"/>
      <protection locked="0"/>
    </xf>
    <xf numFmtId="10" fontId="0" fillId="0" borderId="0" xfId="16" applyNumberFormat="1" applyFont="1"/>
    <xf numFmtId="1" fontId="0" fillId="0" borderId="0" xfId="0" applyNumberFormat="1"/>
    <xf numFmtId="175" fontId="0" fillId="0" borderId="0" xfId="0" applyNumberFormat="1" applyAlignment="1">
      <alignment vertical="center"/>
    </xf>
    <xf numFmtId="175" fontId="24" fillId="0" borderId="0" xfId="0" applyNumberFormat="1" applyFont="1" applyFill="1" applyAlignment="1">
      <alignment vertical="center"/>
    </xf>
    <xf numFmtId="0" fontId="96" fillId="0" borderId="18" xfId="0" applyFont="1" applyFill="1" applyBorder="1" applyAlignment="1">
      <alignment vertical="center"/>
    </xf>
    <xf numFmtId="0" fontId="96" fillId="0" borderId="22" xfId="0" applyFont="1" applyFill="1" applyBorder="1" applyAlignment="1">
      <alignment vertical="center"/>
    </xf>
    <xf numFmtId="0" fontId="96" fillId="0" borderId="20" xfId="0" applyFont="1" applyFill="1" applyBorder="1" applyAlignment="1">
      <alignment vertical="center"/>
    </xf>
    <xf numFmtId="0" fontId="97" fillId="0" borderId="16" xfId="0" applyFont="1" applyFill="1" applyBorder="1" applyAlignment="1">
      <alignment vertical="center"/>
    </xf>
    <xf numFmtId="0" fontId="5" fillId="7" borderId="0" xfId="50" applyFill="1"/>
    <xf numFmtId="0" fontId="5" fillId="0" borderId="0" xfId="50"/>
    <xf numFmtId="0" fontId="5" fillId="7" borderId="0" xfId="50" applyFill="1" applyAlignment="1">
      <alignment vertical="center"/>
    </xf>
    <xf numFmtId="0" fontId="5" fillId="0" borderId="0" xfId="50" applyAlignment="1">
      <alignment vertical="center"/>
    </xf>
    <xf numFmtId="0" fontId="23" fillId="0" borderId="0" xfId="50" applyFont="1" applyBorder="1" applyAlignment="1">
      <alignment horizontal="left" vertical="center" wrapText="1"/>
    </xf>
    <xf numFmtId="4" fontId="34" fillId="8" borderId="53" xfId="0" applyNumberFormat="1" applyFont="1" applyFill="1" applyBorder="1" applyAlignment="1">
      <alignment horizontal="center" vertical="center"/>
    </xf>
    <xf numFmtId="0" fontId="51" fillId="6" borderId="108" xfId="0" applyFont="1" applyFill="1" applyBorder="1" applyAlignment="1">
      <alignment vertical="center"/>
    </xf>
    <xf numFmtId="3" fontId="54" fillId="4" borderId="109" xfId="0" applyNumberFormat="1" applyFont="1" applyFill="1" applyBorder="1" applyAlignment="1">
      <alignment horizontal="center" vertical="center"/>
    </xf>
    <xf numFmtId="3" fontId="54" fillId="8" borderId="110" xfId="0" applyNumberFormat="1" applyFont="1" applyFill="1" applyBorder="1" applyAlignment="1">
      <alignment horizontal="center" vertical="center"/>
    </xf>
    <xf numFmtId="3" fontId="54" fillId="8" borderId="109" xfId="0" applyNumberFormat="1" applyFont="1" applyFill="1" applyBorder="1" applyAlignment="1">
      <alignment horizontal="center" vertical="center"/>
    </xf>
    <xf numFmtId="3" fontId="54" fillId="8" borderId="111" xfId="0" applyNumberFormat="1" applyFont="1" applyFill="1" applyBorder="1" applyAlignment="1">
      <alignment horizontal="center" vertical="center"/>
    </xf>
    <xf numFmtId="0" fontId="71" fillId="6" borderId="112" xfId="0" applyFont="1" applyFill="1" applyBorder="1" applyAlignment="1">
      <alignment vertical="center"/>
    </xf>
    <xf numFmtId="2" fontId="54" fillId="4" borderId="113" xfId="0" applyNumberFormat="1" applyFont="1" applyFill="1" applyBorder="1" applyAlignment="1">
      <alignment horizontal="center" vertical="center"/>
    </xf>
    <xf numFmtId="2" fontId="54" fillId="8" borderId="114" xfId="0" applyNumberFormat="1" applyFont="1" applyFill="1" applyBorder="1" applyAlignment="1">
      <alignment horizontal="center" vertical="center"/>
    </xf>
    <xf numFmtId="2" fontId="54" fillId="8" borderId="113" xfId="0" applyNumberFormat="1" applyFont="1" applyFill="1" applyBorder="1" applyAlignment="1">
      <alignment horizontal="center" vertical="center"/>
    </xf>
    <xf numFmtId="2" fontId="54" fillId="8" borderId="115" xfId="0" applyNumberFormat="1" applyFont="1" applyFill="1" applyBorder="1" applyAlignment="1">
      <alignment horizontal="center" vertical="center"/>
    </xf>
    <xf numFmtId="2" fontId="54" fillId="8" borderId="116" xfId="0" applyNumberFormat="1" applyFont="1" applyFill="1" applyBorder="1" applyAlignment="1">
      <alignment horizontal="center" vertical="center"/>
    </xf>
    <xf numFmtId="0" fontId="4" fillId="6" borderId="117" xfId="0" applyFont="1" applyFill="1" applyBorder="1" applyAlignment="1">
      <alignment vertical="center"/>
    </xf>
    <xf numFmtId="2" fontId="23" fillId="8" borderId="119" xfId="0" applyNumberFormat="1" applyFont="1" applyFill="1" applyBorder="1" applyAlignment="1">
      <alignment horizontal="center" vertical="center"/>
    </xf>
    <xf numFmtId="2" fontId="23" fillId="8" borderId="118" xfId="0" applyNumberFormat="1" applyFont="1" applyFill="1" applyBorder="1" applyAlignment="1">
      <alignment horizontal="center" vertical="center"/>
    </xf>
    <xf numFmtId="2" fontId="23" fillId="8" borderId="120" xfId="0" applyNumberFormat="1" applyFont="1" applyFill="1" applyBorder="1" applyAlignment="1">
      <alignment horizontal="center" vertical="center"/>
    </xf>
    <xf numFmtId="2" fontId="23" fillId="8" borderId="121" xfId="0" applyNumberFormat="1" applyFont="1" applyFill="1" applyBorder="1" applyAlignment="1">
      <alignment horizontal="center" vertical="center"/>
    </xf>
    <xf numFmtId="0" fontId="4" fillId="6" borderId="33" xfId="0" applyFont="1" applyFill="1" applyBorder="1" applyAlignment="1">
      <alignment vertical="center"/>
    </xf>
    <xf numFmtId="2" fontId="23" fillId="8" borderId="39" xfId="0" applyNumberFormat="1" applyFont="1" applyFill="1" applyBorder="1" applyAlignment="1">
      <alignment horizontal="center" vertical="center"/>
    </xf>
    <xf numFmtId="2" fontId="23" fillId="8" borderId="28" xfId="0" applyNumberFormat="1" applyFont="1" applyFill="1" applyBorder="1" applyAlignment="1">
      <alignment horizontal="center" vertical="center"/>
    </xf>
    <xf numFmtId="0" fontId="4" fillId="6" borderId="44" xfId="0" applyFont="1" applyFill="1" applyBorder="1" applyAlignment="1">
      <alignment vertical="center"/>
    </xf>
    <xf numFmtId="2" fontId="23" fillId="8" borderId="46" xfId="0" applyNumberFormat="1" applyFont="1" applyFill="1" applyBorder="1" applyAlignment="1">
      <alignment horizontal="center" vertical="center"/>
    </xf>
    <xf numFmtId="2" fontId="23" fillId="8" borderId="47" xfId="0" applyNumberFormat="1" applyFont="1" applyFill="1" applyBorder="1" applyAlignment="1">
      <alignment horizontal="center" vertical="center"/>
    </xf>
    <xf numFmtId="2" fontId="23" fillId="8" borderId="48" xfId="0" applyNumberFormat="1" applyFont="1" applyFill="1" applyBorder="1" applyAlignment="1">
      <alignment horizontal="center" vertical="center"/>
    </xf>
    <xf numFmtId="0" fontId="51" fillId="15" borderId="122" xfId="0" applyFont="1" applyFill="1" applyBorder="1" applyAlignment="1">
      <alignment vertical="center"/>
    </xf>
    <xf numFmtId="3" fontId="54" fillId="4" borderId="123" xfId="0" applyNumberFormat="1" applyFont="1" applyFill="1" applyBorder="1" applyAlignment="1">
      <alignment horizontal="center" vertical="center"/>
    </xf>
    <xf numFmtId="3" fontId="54" fillId="9" borderId="124" xfId="0" applyNumberFormat="1" applyFont="1" applyFill="1" applyBorder="1" applyAlignment="1">
      <alignment horizontal="center" vertical="center"/>
    </xf>
    <xf numFmtId="3" fontId="54" fillId="9" borderId="123" xfId="0" applyNumberFormat="1" applyFont="1" applyFill="1" applyBorder="1" applyAlignment="1">
      <alignment horizontal="center" vertical="center"/>
    </xf>
    <xf numFmtId="3" fontId="54" fillId="9" borderId="125" xfId="0" applyNumberFormat="1" applyFont="1" applyFill="1" applyBorder="1" applyAlignment="1">
      <alignment horizontal="center" vertical="center"/>
    </xf>
    <xf numFmtId="0" fontId="71" fillId="15" borderId="112" xfId="0" applyFont="1" applyFill="1" applyBorder="1" applyAlignment="1">
      <alignment vertical="center"/>
    </xf>
    <xf numFmtId="2" fontId="54" fillId="9" borderId="114" xfId="0" applyNumberFormat="1" applyFont="1" applyFill="1" applyBorder="1" applyAlignment="1">
      <alignment horizontal="center" vertical="center"/>
    </xf>
    <xf numFmtId="2" fontId="54" fillId="9" borderId="113" xfId="0" applyNumberFormat="1" applyFont="1" applyFill="1" applyBorder="1" applyAlignment="1">
      <alignment horizontal="center" vertical="center"/>
    </xf>
    <xf numFmtId="2" fontId="54" fillId="9" borderId="115" xfId="0" applyNumberFormat="1" applyFont="1" applyFill="1" applyBorder="1" applyAlignment="1">
      <alignment horizontal="center" vertical="center"/>
    </xf>
    <xf numFmtId="2" fontId="54" fillId="9" borderId="116" xfId="0" applyNumberFormat="1" applyFont="1" applyFill="1" applyBorder="1" applyAlignment="1">
      <alignment horizontal="center" vertical="center"/>
    </xf>
    <xf numFmtId="0" fontId="4" fillId="15" borderId="117" xfId="0" applyFont="1" applyFill="1" applyBorder="1" applyAlignment="1">
      <alignment vertical="center"/>
    </xf>
    <xf numFmtId="2" fontId="23" fillId="9" borderId="119" xfId="0" applyNumberFormat="1" applyFont="1" applyFill="1" applyBorder="1" applyAlignment="1">
      <alignment horizontal="center" vertical="center"/>
    </xf>
    <xf numFmtId="2" fontId="23" fillId="9" borderId="118" xfId="0" applyNumberFormat="1" applyFont="1" applyFill="1" applyBorder="1" applyAlignment="1">
      <alignment horizontal="center" vertical="center"/>
    </xf>
    <xf numFmtId="2" fontId="23" fillId="9" borderId="120" xfId="0" applyNumberFormat="1" applyFont="1" applyFill="1" applyBorder="1" applyAlignment="1">
      <alignment horizontal="center" vertical="center"/>
    </xf>
    <xf numFmtId="2" fontId="23" fillId="9" borderId="121" xfId="0" applyNumberFormat="1" applyFont="1" applyFill="1" applyBorder="1" applyAlignment="1">
      <alignment horizontal="center" vertical="center"/>
    </xf>
    <xf numFmtId="0" fontId="4" fillId="15" borderId="33" xfId="0" applyFont="1" applyFill="1" applyBorder="1" applyAlignment="1">
      <alignment vertical="center"/>
    </xf>
    <xf numFmtId="2" fontId="23" fillId="9" borderId="34" xfId="0" applyNumberFormat="1" applyFont="1" applyFill="1" applyBorder="1" applyAlignment="1">
      <alignment horizontal="center" vertical="center"/>
    </xf>
    <xf numFmtId="2" fontId="23" fillId="9" borderId="0" xfId="0" applyNumberFormat="1" applyFont="1" applyFill="1" applyBorder="1" applyAlignment="1">
      <alignment horizontal="center" vertical="center"/>
    </xf>
    <xf numFmtId="2" fontId="23" fillId="9" borderId="39" xfId="0" applyNumberFormat="1" applyFont="1" applyFill="1" applyBorder="1" applyAlignment="1">
      <alignment horizontal="center" vertical="center"/>
    </xf>
    <xf numFmtId="2" fontId="23" fillId="9" borderId="28" xfId="0" applyNumberFormat="1" applyFont="1" applyFill="1" applyBorder="1" applyAlignment="1">
      <alignment horizontal="center" vertical="center"/>
    </xf>
    <xf numFmtId="0" fontId="4" fillId="15" borderId="44" xfId="0" applyFont="1" applyFill="1" applyBorder="1" applyAlignment="1">
      <alignment vertical="center"/>
    </xf>
    <xf numFmtId="2" fontId="23" fillId="9" borderId="46" xfId="0" applyNumberFormat="1" applyFont="1" applyFill="1" applyBorder="1" applyAlignment="1">
      <alignment horizontal="center" vertical="center"/>
    </xf>
    <xf numFmtId="2" fontId="23" fillId="9" borderId="45" xfId="0" applyNumberFormat="1" applyFont="1" applyFill="1" applyBorder="1" applyAlignment="1">
      <alignment horizontal="center" vertical="center"/>
    </xf>
    <xf numFmtId="2" fontId="23" fillId="9" borderId="47" xfId="0" applyNumberFormat="1" applyFont="1" applyFill="1" applyBorder="1" applyAlignment="1">
      <alignment horizontal="center" vertical="center"/>
    </xf>
    <xf numFmtId="2" fontId="23" fillId="9" borderId="48" xfId="0" applyNumberFormat="1" applyFont="1" applyFill="1" applyBorder="1" applyAlignment="1">
      <alignment horizontal="center" vertical="center"/>
    </xf>
    <xf numFmtId="0" fontId="4" fillId="15" borderId="50" xfId="0" applyFont="1" applyFill="1" applyBorder="1" applyAlignment="1">
      <alignment vertical="center"/>
    </xf>
    <xf numFmtId="167" fontId="32" fillId="0" borderId="0" xfId="15" applyNumberFormat="1" applyFont="1" applyFill="1" applyBorder="1" applyAlignment="1" applyProtection="1">
      <alignment horizontal="center" vertical="center"/>
    </xf>
    <xf numFmtId="0" fontId="56" fillId="6" borderId="126" xfId="0" applyFont="1" applyFill="1" applyBorder="1" applyAlignment="1">
      <alignment horizontal="center" vertical="center"/>
    </xf>
    <xf numFmtId="168" fontId="50" fillId="9" borderId="39" xfId="0" applyNumberFormat="1" applyFont="1" applyFill="1" applyBorder="1" applyAlignment="1">
      <alignment horizontal="center" vertical="center"/>
    </xf>
    <xf numFmtId="168" fontId="23" fillId="9" borderId="38" xfId="0" applyNumberFormat="1" applyFont="1" applyFill="1" applyBorder="1" applyAlignment="1">
      <alignment horizontal="center" vertical="center"/>
    </xf>
    <xf numFmtId="168" fontId="23" fillId="9" borderId="37" xfId="0" applyNumberFormat="1" applyFont="1" applyFill="1" applyBorder="1" applyAlignment="1">
      <alignment horizontal="center" vertical="center"/>
    </xf>
    <xf numFmtId="168" fontId="50" fillId="9" borderId="40" xfId="0" applyNumberFormat="1" applyFont="1" applyFill="1" applyBorder="1" applyAlignment="1">
      <alignment horizontal="center" vertical="center"/>
    </xf>
    <xf numFmtId="0" fontId="56" fillId="6" borderId="120" xfId="0" applyFont="1" applyFill="1" applyBorder="1" applyAlignment="1">
      <alignment horizontal="center" vertical="center"/>
    </xf>
    <xf numFmtId="0" fontId="56" fillId="6" borderId="83" xfId="0" applyFont="1" applyFill="1" applyBorder="1" applyAlignment="1">
      <alignment horizontal="center" vertical="center"/>
    </xf>
    <xf numFmtId="168" fontId="56" fillId="9" borderId="83" xfId="0" applyNumberFormat="1" applyFont="1" applyFill="1" applyBorder="1" applyAlignment="1">
      <alignment horizontal="center" vertical="center"/>
    </xf>
    <xf numFmtId="168" fontId="56" fillId="9" borderId="129" xfId="0" applyNumberFormat="1" applyFont="1" applyFill="1" applyBorder="1" applyAlignment="1">
      <alignment horizontal="center" vertical="center"/>
    </xf>
    <xf numFmtId="168" fontId="56" fillId="9" borderId="79" xfId="0" applyNumberFormat="1" applyFont="1" applyFill="1" applyBorder="1" applyAlignment="1">
      <alignment horizontal="center" vertical="center"/>
    </xf>
    <xf numFmtId="168" fontId="56" fillId="9" borderId="87" xfId="0" applyNumberFormat="1" applyFont="1" applyFill="1" applyBorder="1" applyAlignment="1">
      <alignment horizontal="center" vertical="center"/>
    </xf>
    <xf numFmtId="168" fontId="23" fillId="9" borderId="120" xfId="0" applyNumberFormat="1" applyFont="1" applyFill="1" applyBorder="1" applyAlignment="1">
      <alignment horizontal="center" vertical="center"/>
    </xf>
    <xf numFmtId="168" fontId="23" fillId="9" borderId="127" xfId="0" applyNumberFormat="1" applyFont="1" applyFill="1" applyBorder="1" applyAlignment="1">
      <alignment horizontal="center" vertical="center"/>
    </xf>
    <xf numFmtId="168" fontId="23" fillId="9" borderId="130" xfId="0" applyNumberFormat="1" applyFont="1" applyFill="1" applyBorder="1" applyAlignment="1">
      <alignment horizontal="center" vertical="center"/>
    </xf>
    <xf numFmtId="168" fontId="23" fillId="9" borderId="128" xfId="0" applyNumberFormat="1" applyFont="1" applyFill="1" applyBorder="1" applyAlignment="1">
      <alignment horizontal="center" vertical="center"/>
    </xf>
    <xf numFmtId="168" fontId="67" fillId="9" borderId="48" xfId="0" applyNumberFormat="1" applyFont="1" applyFill="1" applyBorder="1" applyAlignment="1">
      <alignment horizontal="center" vertical="center"/>
    </xf>
    <xf numFmtId="0" fontId="56" fillId="6" borderId="51" xfId="0" applyFont="1" applyFill="1" applyBorder="1" applyAlignment="1">
      <alignment horizontal="center" vertical="center"/>
    </xf>
    <xf numFmtId="168" fontId="56" fillId="9" borderId="51" xfId="0" applyNumberFormat="1" applyFont="1" applyFill="1" applyBorder="1" applyAlignment="1">
      <alignment horizontal="center" vertical="center"/>
    </xf>
    <xf numFmtId="168" fontId="56" fillId="9" borderId="52" xfId="0" applyNumberFormat="1" applyFont="1" applyFill="1" applyBorder="1" applyAlignment="1">
      <alignment horizontal="center" vertical="center"/>
    </xf>
    <xf numFmtId="168" fontId="56" fillId="9" borderId="49" xfId="0" applyNumberFormat="1" applyFont="1" applyFill="1" applyBorder="1" applyAlignment="1">
      <alignment horizontal="center" vertical="center"/>
    </xf>
    <xf numFmtId="168" fontId="56" fillId="9" borderId="53" xfId="0" applyNumberFormat="1" applyFont="1" applyFill="1" applyBorder="1" applyAlignment="1">
      <alignment horizontal="center" vertical="center"/>
    </xf>
    <xf numFmtId="168" fontId="50" fillId="9" borderId="37" xfId="0" applyNumberFormat="1" applyFont="1" applyFill="1" applyBorder="1" applyAlignment="1">
      <alignment horizontal="center" vertical="center"/>
    </xf>
    <xf numFmtId="0" fontId="56" fillId="6" borderId="118" xfId="0" applyFont="1" applyFill="1" applyBorder="1" applyAlignment="1">
      <alignment horizontal="center" vertical="center"/>
    </xf>
    <xf numFmtId="168" fontId="23" fillId="9" borderId="118" xfId="0" applyNumberFormat="1" applyFont="1" applyFill="1" applyBorder="1" applyAlignment="1">
      <alignment horizontal="center" vertical="center"/>
    </xf>
    <xf numFmtId="168" fontId="23" fillId="9" borderId="119" xfId="0" applyNumberFormat="1" applyFont="1" applyFill="1" applyBorder="1" applyAlignment="1">
      <alignment horizontal="center" vertical="center"/>
    </xf>
    <xf numFmtId="168" fontId="23" fillId="9" borderId="131" xfId="0" applyNumberFormat="1" applyFont="1" applyFill="1" applyBorder="1" applyAlignment="1">
      <alignment horizontal="center" vertical="center"/>
    </xf>
    <xf numFmtId="168" fontId="23" fillId="9" borderId="121" xfId="0" applyNumberFormat="1" applyFont="1" applyFill="1" applyBorder="1" applyAlignment="1">
      <alignment horizontal="center" vertical="center"/>
    </xf>
    <xf numFmtId="0" fontId="98" fillId="0" borderId="0" xfId="0" applyFont="1" applyAlignment="1">
      <alignment horizontal="center" vertical="center" readingOrder="1"/>
    </xf>
    <xf numFmtId="2" fontId="23" fillId="9" borderId="52" xfId="0" applyNumberFormat="1" applyFont="1" applyFill="1" applyBorder="1" applyAlignment="1">
      <alignment horizontal="center" vertical="center"/>
    </xf>
    <xf numFmtId="2" fontId="23" fillId="9" borderId="51" xfId="0" applyNumberFormat="1" applyFont="1" applyFill="1" applyBorder="1" applyAlignment="1">
      <alignment horizontal="center" vertical="center"/>
    </xf>
    <xf numFmtId="2" fontId="23" fillId="9" borderId="53" xfId="0" applyNumberFormat="1" applyFont="1" applyFill="1" applyBorder="1" applyAlignment="1">
      <alignment horizontal="center" vertical="center"/>
    </xf>
    <xf numFmtId="0" fontId="3" fillId="3" borderId="16" xfId="0" applyFont="1" applyFill="1" applyBorder="1" applyAlignment="1" applyProtection="1">
      <alignment vertical="center" wrapText="1"/>
    </xf>
    <xf numFmtId="2" fontId="23" fillId="4" borderId="120" xfId="0" applyNumberFormat="1" applyFont="1" applyFill="1" applyBorder="1" applyAlignment="1">
      <alignment horizontal="center" vertical="center"/>
    </xf>
    <xf numFmtId="2" fontId="23" fillId="4" borderId="132" xfId="0" applyNumberFormat="1" applyFont="1" applyFill="1" applyBorder="1" applyAlignment="1">
      <alignment horizontal="center" vertical="center"/>
    </xf>
    <xf numFmtId="2" fontId="23" fillId="4" borderId="47" xfId="0" applyNumberFormat="1" applyFont="1" applyFill="1" applyBorder="1" applyAlignment="1">
      <alignment horizontal="center" vertical="center"/>
    </xf>
    <xf numFmtId="2" fontId="23" fillId="4" borderId="42" xfId="0" applyNumberFormat="1" applyFont="1" applyFill="1" applyBorder="1" applyAlignment="1">
      <alignment horizontal="center" vertical="center"/>
    </xf>
    <xf numFmtId="2" fontId="23" fillId="4" borderId="133" xfId="0" applyNumberFormat="1" applyFont="1" applyFill="1" applyBorder="1" applyAlignment="1">
      <alignment horizontal="center" vertical="center"/>
    </xf>
    <xf numFmtId="9" fontId="56" fillId="9" borderId="0" xfId="16" applyFont="1" applyFill="1" applyBorder="1" applyAlignment="1" applyProtection="1">
      <alignment horizontal="center" vertical="center"/>
    </xf>
    <xf numFmtId="9" fontId="56" fillId="9" borderId="58" xfId="16" applyFont="1" applyFill="1" applyBorder="1" applyAlignment="1" applyProtection="1">
      <alignment horizontal="center" vertical="center"/>
    </xf>
    <xf numFmtId="1" fontId="23" fillId="9" borderId="83" xfId="0" applyNumberFormat="1" applyFont="1" applyFill="1" applyBorder="1" applyAlignment="1" applyProtection="1">
      <alignment horizontal="center" vertical="center"/>
    </xf>
    <xf numFmtId="1" fontId="23" fillId="9" borderId="21" xfId="0" applyNumberFormat="1" applyFont="1" applyFill="1" applyBorder="1" applyAlignment="1" applyProtection="1">
      <alignment horizontal="center" vertical="center"/>
    </xf>
    <xf numFmtId="0" fontId="50" fillId="0" borderId="0" xfId="0" applyFont="1" applyBorder="1" applyProtection="1"/>
    <xf numFmtId="3" fontId="56" fillId="9" borderId="106" xfId="16" applyNumberFormat="1" applyFont="1" applyFill="1" applyBorder="1" applyAlignment="1" applyProtection="1">
      <alignment horizontal="center" vertical="center"/>
    </xf>
    <xf numFmtId="3" fontId="56" fillId="9" borderId="60" xfId="16" applyNumberFormat="1" applyFont="1" applyFill="1" applyBorder="1" applyAlignment="1" applyProtection="1">
      <alignment horizontal="center" vertical="center"/>
    </xf>
    <xf numFmtId="0" fontId="100" fillId="6" borderId="0" xfId="45" applyFont="1" applyFill="1" applyAlignment="1">
      <alignment vertical="center"/>
    </xf>
    <xf numFmtId="0" fontId="87" fillId="2" borderId="0" xfId="45" applyFont="1" applyFill="1" applyAlignment="1" applyProtection="1">
      <alignment vertical="center"/>
      <protection locked="0"/>
    </xf>
    <xf numFmtId="0" fontId="0" fillId="22" borderId="0" xfId="0" applyFill="1" applyAlignment="1">
      <alignment vertical="center"/>
    </xf>
    <xf numFmtId="0" fontId="4" fillId="3" borderId="16" xfId="0" applyFont="1" applyFill="1" applyBorder="1" applyAlignment="1" applyProtection="1">
      <alignment vertical="center" wrapText="1"/>
      <protection locked="0"/>
    </xf>
    <xf numFmtId="0" fontId="3" fillId="3" borderId="16" xfId="0" applyFont="1" applyFill="1" applyBorder="1" applyAlignment="1" applyProtection="1">
      <alignment vertical="center"/>
    </xf>
    <xf numFmtId="0" fontId="31" fillId="2" borderId="24" xfId="0" applyFont="1" applyFill="1" applyBorder="1" applyAlignment="1" applyProtection="1">
      <alignment vertical="center"/>
    </xf>
    <xf numFmtId="1" fontId="56" fillId="9" borderId="58" xfId="0" applyNumberFormat="1" applyFont="1" applyFill="1" applyBorder="1" applyAlignment="1">
      <alignment horizontal="center" vertical="center"/>
    </xf>
    <xf numFmtId="1" fontId="56" fillId="9" borderId="21" xfId="0" applyNumberFormat="1" applyFont="1" applyFill="1" applyBorder="1" applyAlignment="1">
      <alignment horizontal="center" vertical="center"/>
    </xf>
    <xf numFmtId="0" fontId="52" fillId="7" borderId="0" xfId="0" applyFont="1" applyFill="1" applyAlignment="1">
      <alignment vertical="center"/>
    </xf>
    <xf numFmtId="0" fontId="77" fillId="7" borderId="0" xfId="0" applyFont="1" applyFill="1" applyAlignment="1" applyProtection="1">
      <alignment vertical="center"/>
    </xf>
    <xf numFmtId="1" fontId="56" fillId="9" borderId="134" xfId="0" applyNumberFormat="1" applyFont="1" applyFill="1" applyBorder="1" applyAlignment="1">
      <alignment horizontal="center" vertical="center" wrapText="1"/>
    </xf>
    <xf numFmtId="0" fontId="5" fillId="7" borderId="0" xfId="50" applyFill="1"/>
    <xf numFmtId="0" fontId="103" fillId="7" borderId="0" xfId="0" applyFont="1" applyFill="1" applyAlignment="1">
      <alignment vertical="center"/>
    </xf>
    <xf numFmtId="0" fontId="26" fillId="0" borderId="0" xfId="0" applyFont="1" applyAlignment="1">
      <alignment horizontal="center" vertical="center"/>
    </xf>
    <xf numFmtId="10" fontId="53" fillId="9" borderId="54" xfId="16" applyNumberFormat="1" applyFont="1" applyFill="1" applyBorder="1" applyAlignment="1">
      <alignment horizontal="center" vertical="center"/>
    </xf>
    <xf numFmtId="0" fontId="7" fillId="16" borderId="42" xfId="0" applyFont="1" applyFill="1" applyBorder="1" applyAlignment="1">
      <alignment vertical="center"/>
    </xf>
    <xf numFmtId="0" fontId="2" fillId="16" borderId="22" xfId="0" applyFont="1" applyFill="1" applyBorder="1" applyAlignment="1">
      <alignment vertical="center"/>
    </xf>
    <xf numFmtId="3" fontId="56" fillId="7" borderId="57" xfId="0" applyNumberFormat="1" applyFont="1" applyFill="1" applyBorder="1" applyAlignment="1">
      <alignment horizontal="center" vertical="center"/>
    </xf>
    <xf numFmtId="3" fontId="56" fillId="7" borderId="17" xfId="0" applyNumberFormat="1" applyFont="1" applyFill="1" applyBorder="1" applyAlignment="1">
      <alignment horizontal="center" vertical="center"/>
    </xf>
    <xf numFmtId="0" fontId="92" fillId="7" borderId="0" xfId="36" applyFont="1" applyFill="1" applyAlignment="1">
      <alignment horizontal="left" vertical="center" wrapText="1"/>
    </xf>
    <xf numFmtId="0" fontId="55" fillId="7" borderId="24" xfId="45" applyFont="1" applyFill="1" applyBorder="1" applyAlignment="1">
      <alignment horizontal="left" vertical="center" wrapText="1" indent="1"/>
    </xf>
    <xf numFmtId="0" fontId="55" fillId="7" borderId="25" xfId="45" applyFont="1" applyFill="1" applyBorder="1" applyAlignment="1">
      <alignment horizontal="left" vertical="center" wrapText="1" indent="1"/>
    </xf>
    <xf numFmtId="0" fontId="55" fillId="7" borderId="43" xfId="45" applyFont="1" applyFill="1" applyBorder="1" applyAlignment="1">
      <alignment horizontal="left" vertical="center" wrapText="1" indent="1"/>
    </xf>
    <xf numFmtId="0" fontId="55" fillId="7" borderId="58" xfId="45" applyFont="1" applyFill="1" applyBorder="1" applyAlignment="1">
      <alignment horizontal="left" vertical="center" wrapText="1" indent="1"/>
    </xf>
    <xf numFmtId="0" fontId="55" fillId="7" borderId="59" xfId="45" applyFont="1" applyFill="1" applyBorder="1" applyAlignment="1">
      <alignment horizontal="left" vertical="center" wrapText="1" indent="1"/>
    </xf>
    <xf numFmtId="0" fontId="55" fillId="7" borderId="60" xfId="45" applyFont="1" applyFill="1" applyBorder="1" applyAlignment="1">
      <alignment horizontal="left" vertical="center" wrapText="1" indent="1"/>
    </xf>
    <xf numFmtId="0" fontId="101" fillId="0" borderId="0" xfId="0" applyFont="1" applyAlignment="1">
      <alignment horizontal="left" vertical="center" wrapText="1"/>
    </xf>
    <xf numFmtId="0" fontId="32" fillId="5" borderId="24" xfId="50" applyFont="1" applyFill="1" applyBorder="1" applyAlignment="1">
      <alignment vertical="center"/>
    </xf>
    <xf numFmtId="0" fontId="32" fillId="5" borderId="62" xfId="50" applyFont="1" applyFill="1" applyBorder="1" applyAlignment="1">
      <alignment vertical="center"/>
    </xf>
    <xf numFmtId="0" fontId="32" fillId="5" borderId="25" xfId="50" applyFont="1" applyFill="1" applyBorder="1" applyAlignment="1">
      <alignment vertical="center"/>
    </xf>
    <xf numFmtId="0" fontId="23" fillId="0" borderId="24" xfId="50" applyFont="1" applyBorder="1" applyAlignment="1">
      <alignment horizontal="left" vertical="center" wrapText="1" indent="1"/>
    </xf>
    <xf numFmtId="0" fontId="23" fillId="0" borderId="62" xfId="50" applyFont="1" applyBorder="1" applyAlignment="1">
      <alignment horizontal="left" vertical="center" wrapText="1" indent="1"/>
    </xf>
    <xf numFmtId="0" fontId="23" fillId="0" borderId="25" xfId="50" applyFont="1" applyBorder="1" applyAlignment="1">
      <alignment horizontal="left" vertical="center" wrapText="1" indent="1"/>
    </xf>
    <xf numFmtId="0" fontId="23" fillId="0" borderId="59" xfId="50" applyFont="1" applyBorder="1" applyAlignment="1">
      <alignment horizontal="left" vertical="center" wrapText="1" indent="1"/>
    </xf>
    <xf numFmtId="0" fontId="23" fillId="0" borderId="106" xfId="50" applyFont="1" applyBorder="1" applyAlignment="1">
      <alignment horizontal="left" vertical="center" wrapText="1" indent="1"/>
    </xf>
    <xf numFmtId="0" fontId="23" fillId="0" borderId="60" xfId="50" applyFont="1" applyBorder="1" applyAlignment="1">
      <alignment horizontal="left" vertical="center" wrapText="1" indent="1"/>
    </xf>
    <xf numFmtId="0" fontId="56" fillId="0" borderId="43" xfId="50" applyFont="1" applyBorder="1" applyAlignment="1" applyProtection="1">
      <alignment horizontal="left" vertical="center" wrapText="1" indent="1"/>
      <protection locked="0"/>
    </xf>
    <xf numFmtId="0" fontId="23" fillId="0" borderId="0" xfId="50" applyFont="1" applyBorder="1" applyAlignment="1" applyProtection="1">
      <alignment horizontal="left" vertical="center" wrapText="1" indent="1"/>
      <protection locked="0"/>
    </xf>
    <xf numFmtId="0" fontId="23" fillId="0" borderId="58" xfId="50" applyFont="1" applyBorder="1" applyAlignment="1" applyProtection="1">
      <alignment horizontal="left" vertical="center" wrapText="1" indent="1"/>
      <protection locked="0"/>
    </xf>
    <xf numFmtId="0" fontId="23" fillId="0" borderId="43" xfId="50" applyFont="1" applyBorder="1" applyAlignment="1" applyProtection="1">
      <alignment horizontal="left" vertical="center" wrapText="1" indent="1"/>
      <protection locked="0"/>
    </xf>
    <xf numFmtId="0" fontId="23" fillId="0" borderId="59" xfId="50" applyFont="1" applyBorder="1" applyAlignment="1" applyProtection="1">
      <alignment horizontal="left" vertical="center" wrapText="1" indent="1"/>
      <protection locked="0"/>
    </xf>
    <xf numFmtId="0" fontId="23" fillId="0" borderId="106" xfId="50" applyFont="1" applyBorder="1" applyAlignment="1" applyProtection="1">
      <alignment horizontal="left" vertical="center" wrapText="1" indent="1"/>
      <protection locked="0"/>
    </xf>
    <xf numFmtId="0" fontId="23" fillId="0" borderId="60" xfId="50" applyFont="1" applyBorder="1" applyAlignment="1" applyProtection="1">
      <alignment horizontal="left" vertical="center" wrapText="1" indent="1"/>
      <protection locked="0"/>
    </xf>
    <xf numFmtId="0" fontId="5" fillId="7" borderId="106" xfId="50" applyFill="1" applyBorder="1"/>
    <xf numFmtId="0" fontId="23" fillId="0" borderId="43" xfId="50" applyFont="1" applyBorder="1" applyAlignment="1">
      <alignment horizontal="left" vertical="center" wrapText="1" indent="1"/>
    </xf>
    <xf numFmtId="0" fontId="23" fillId="0" borderId="0" xfId="50" applyFont="1" applyBorder="1" applyAlignment="1">
      <alignment horizontal="left" vertical="center" wrapText="1" indent="1"/>
    </xf>
    <xf numFmtId="0" fontId="23" fillId="0" borderId="58" xfId="50" applyFont="1" applyBorder="1" applyAlignment="1">
      <alignment horizontal="left" vertical="center" wrapText="1" indent="1"/>
    </xf>
    <xf numFmtId="0" fontId="5" fillId="7" borderId="0" xfId="50" applyFill="1"/>
    <xf numFmtId="0" fontId="99" fillId="0" borderId="0" xfId="0" applyFont="1" applyAlignment="1">
      <alignment horizontal="center" vertical="center" wrapText="1"/>
    </xf>
    <xf numFmtId="0" fontId="99" fillId="0" borderId="0" xfId="0" applyFont="1" applyAlignment="1">
      <alignment horizontal="center" vertical="center"/>
    </xf>
    <xf numFmtId="168" fontId="50" fillId="4" borderId="45" xfId="16" applyNumberFormat="1" applyFont="1" applyFill="1" applyBorder="1" applyAlignment="1" applyProtection="1">
      <alignment horizontal="center" vertical="center"/>
      <protection locked="0"/>
    </xf>
    <xf numFmtId="168" fontId="50" fillId="4" borderId="23" xfId="16" applyNumberFormat="1" applyFont="1" applyFill="1" applyBorder="1" applyAlignment="1" applyProtection="1">
      <alignment horizontal="center" vertical="center"/>
      <protection locked="0"/>
    </xf>
    <xf numFmtId="0" fontId="82" fillId="0" borderId="106" xfId="0" applyFont="1" applyBorder="1" applyAlignment="1">
      <alignment vertical="center" wrapText="1"/>
    </xf>
    <xf numFmtId="0" fontId="82" fillId="0" borderId="106" xfId="0" applyFont="1" applyBorder="1" applyAlignment="1">
      <alignment horizontal="left" vertical="center" wrapText="1"/>
    </xf>
    <xf numFmtId="166" fontId="50" fillId="4" borderId="83" xfId="16" applyNumberFormat="1" applyFont="1" applyFill="1" applyBorder="1" applyAlignment="1" applyProtection="1">
      <alignment horizontal="center" vertical="center"/>
      <protection locked="0"/>
    </xf>
    <xf numFmtId="166" fontId="50" fillId="4" borderId="21" xfId="16" applyNumberFormat="1" applyFont="1" applyFill="1" applyBorder="1" applyAlignment="1" applyProtection="1">
      <alignment horizontal="center" vertical="center"/>
      <protection locked="0"/>
    </xf>
    <xf numFmtId="3" fontId="50" fillId="4" borderId="45" xfId="16" applyNumberFormat="1" applyFont="1" applyFill="1" applyBorder="1" applyAlignment="1" applyProtection="1">
      <alignment horizontal="center" vertical="center"/>
      <protection locked="0"/>
    </xf>
    <xf numFmtId="3" fontId="50" fillId="4" borderId="23" xfId="16" applyNumberFormat="1" applyFont="1" applyFill="1" applyBorder="1" applyAlignment="1" applyProtection="1">
      <alignment horizontal="center" vertical="center"/>
      <protection locked="0"/>
    </xf>
    <xf numFmtId="3" fontId="50" fillId="4" borderId="83" xfId="16" applyNumberFormat="1" applyFont="1" applyFill="1" applyBorder="1" applyAlignment="1" applyProtection="1">
      <alignment horizontal="center" vertical="center"/>
      <protection locked="0"/>
    </xf>
    <xf numFmtId="3" fontId="50" fillId="4" borderId="21" xfId="16" applyNumberFormat="1" applyFont="1" applyFill="1" applyBorder="1" applyAlignment="1" applyProtection="1">
      <alignment horizontal="center" vertical="center"/>
      <protection locked="0"/>
    </xf>
    <xf numFmtId="3" fontId="50" fillId="4" borderId="106" xfId="16" applyNumberFormat="1" applyFont="1" applyFill="1" applyBorder="1" applyAlignment="1" applyProtection="1">
      <alignment horizontal="center" vertical="center"/>
      <protection locked="0"/>
    </xf>
    <xf numFmtId="3" fontId="50" fillId="4" borderId="60" xfId="16" applyNumberFormat="1" applyFont="1" applyFill="1" applyBorder="1" applyAlignment="1" applyProtection="1">
      <alignment horizontal="center" vertical="center"/>
      <protection locked="0"/>
    </xf>
    <xf numFmtId="0" fontId="31" fillId="2" borderId="16" xfId="0" applyFont="1" applyFill="1" applyBorder="1" applyAlignment="1" applyProtection="1">
      <alignment horizontal="left" vertical="center"/>
    </xf>
    <xf numFmtId="0" fontId="31" fillId="2" borderId="57" xfId="0" applyFont="1" applyFill="1" applyBorder="1" applyAlignment="1" applyProtection="1">
      <alignment horizontal="left" vertical="center"/>
    </xf>
    <xf numFmtId="0" fontId="31" fillId="2" borderId="17" xfId="0" applyFont="1" applyFill="1" applyBorder="1" applyAlignment="1" applyProtection="1">
      <alignment horizontal="left" vertical="center"/>
    </xf>
    <xf numFmtId="9" fontId="50" fillId="4" borderId="45" xfId="16" applyFont="1" applyFill="1" applyBorder="1" applyAlignment="1" applyProtection="1">
      <alignment horizontal="center" vertical="center"/>
      <protection locked="0"/>
    </xf>
    <xf numFmtId="9" fontId="50" fillId="4" borderId="23" xfId="16" applyFont="1" applyFill="1" applyBorder="1" applyAlignment="1" applyProtection="1">
      <alignment horizontal="center" vertical="center"/>
      <protection locked="0"/>
    </xf>
    <xf numFmtId="9" fontId="56" fillId="9" borderId="45" xfId="16" applyFont="1" applyFill="1" applyBorder="1" applyAlignment="1" applyProtection="1">
      <alignment horizontal="center" vertical="center"/>
    </xf>
    <xf numFmtId="9" fontId="56" fillId="9" borderId="23" xfId="16" applyFont="1" applyFill="1" applyBorder="1" applyAlignment="1" applyProtection="1">
      <alignment horizontal="center" vertical="center"/>
    </xf>
    <xf numFmtId="1" fontId="56" fillId="9" borderId="82" xfId="16" applyNumberFormat="1" applyFont="1" applyFill="1" applyBorder="1" applyAlignment="1" applyProtection="1">
      <alignment horizontal="center" vertical="center"/>
    </xf>
    <xf numFmtId="1" fontId="56" fillId="9" borderId="19" xfId="16" applyNumberFormat="1" applyFont="1" applyFill="1" applyBorder="1" applyAlignment="1" applyProtection="1">
      <alignment horizontal="center" vertical="center"/>
    </xf>
    <xf numFmtId="1" fontId="56" fillId="9" borderId="106" xfId="16" applyNumberFormat="1" applyFont="1" applyFill="1" applyBorder="1" applyAlignment="1" applyProtection="1">
      <alignment horizontal="center" vertical="center"/>
    </xf>
    <xf numFmtId="1" fontId="56" fillId="9" borderId="60" xfId="16" applyNumberFormat="1" applyFont="1" applyFill="1" applyBorder="1" applyAlignment="1" applyProtection="1">
      <alignment horizontal="center" vertical="center"/>
    </xf>
    <xf numFmtId="1" fontId="50" fillId="4" borderId="45" xfId="16" applyNumberFormat="1" applyFont="1" applyFill="1" applyBorder="1" applyAlignment="1" applyProtection="1">
      <alignment horizontal="center" vertical="center"/>
      <protection locked="0"/>
    </xf>
    <xf numFmtId="1" fontId="50" fillId="4" borderId="23" xfId="16" applyNumberFormat="1" applyFont="1" applyFill="1" applyBorder="1" applyAlignment="1" applyProtection="1">
      <alignment horizontal="center" vertical="center"/>
      <protection locked="0"/>
    </xf>
    <xf numFmtId="166" fontId="50" fillId="4" borderId="45" xfId="16" applyNumberFormat="1" applyFont="1" applyFill="1" applyBorder="1" applyAlignment="1" applyProtection="1">
      <alignment horizontal="center" vertical="center"/>
      <protection locked="0"/>
    </xf>
    <xf numFmtId="166" fontId="50" fillId="4" borderId="23" xfId="16" applyNumberFormat="1" applyFont="1" applyFill="1" applyBorder="1" applyAlignment="1" applyProtection="1">
      <alignment horizontal="center" vertical="center"/>
      <protection locked="0"/>
    </xf>
    <xf numFmtId="3" fontId="56" fillId="9" borderId="106" xfId="16" applyNumberFormat="1" applyFont="1" applyFill="1" applyBorder="1" applyAlignment="1" applyProtection="1">
      <alignment horizontal="center" vertical="center"/>
    </xf>
    <xf numFmtId="3" fontId="56" fillId="9" borderId="60" xfId="16" applyNumberFormat="1" applyFont="1" applyFill="1" applyBorder="1" applyAlignment="1" applyProtection="1">
      <alignment horizontal="center" vertical="center"/>
    </xf>
    <xf numFmtId="3" fontId="56" fillId="9" borderId="82" xfId="16" applyNumberFormat="1" applyFont="1" applyFill="1" applyBorder="1" applyAlignment="1" applyProtection="1">
      <alignment horizontal="center" vertical="center"/>
    </xf>
    <xf numFmtId="3" fontId="56" fillId="9" borderId="19" xfId="16" applyNumberFormat="1" applyFont="1" applyFill="1" applyBorder="1" applyAlignment="1" applyProtection="1">
      <alignment horizontal="center" vertical="center"/>
    </xf>
    <xf numFmtId="3" fontId="56" fillId="9" borderId="45" xfId="16" applyNumberFormat="1" applyFont="1" applyFill="1" applyBorder="1" applyAlignment="1" applyProtection="1">
      <alignment horizontal="center" vertical="center"/>
    </xf>
    <xf numFmtId="3" fontId="56" fillId="9" borderId="23" xfId="16" applyNumberFormat="1" applyFont="1" applyFill="1" applyBorder="1" applyAlignment="1" applyProtection="1">
      <alignment horizontal="center" vertical="center"/>
    </xf>
    <xf numFmtId="166" fontId="56" fillId="9" borderId="45" xfId="16" applyNumberFormat="1" applyFont="1" applyFill="1" applyBorder="1" applyAlignment="1" applyProtection="1">
      <alignment horizontal="center" vertical="center"/>
    </xf>
    <xf numFmtId="166" fontId="56" fillId="9" borderId="23" xfId="16" applyNumberFormat="1" applyFont="1" applyFill="1" applyBorder="1" applyAlignment="1" applyProtection="1">
      <alignment horizontal="center" vertical="center"/>
    </xf>
    <xf numFmtId="9" fontId="50" fillId="4" borderId="0" xfId="16" applyFont="1" applyFill="1" applyBorder="1" applyAlignment="1" applyProtection="1">
      <alignment horizontal="center" vertical="center"/>
      <protection locked="0"/>
    </xf>
    <xf numFmtId="9" fontId="50" fillId="4" borderId="58" xfId="16" applyFont="1" applyFill="1" applyBorder="1" applyAlignment="1" applyProtection="1">
      <alignment horizontal="center" vertical="center"/>
      <protection locked="0"/>
    </xf>
    <xf numFmtId="3" fontId="50" fillId="4" borderId="42" xfId="16" applyNumberFormat="1" applyFont="1" applyFill="1" applyBorder="1" applyAlignment="1" applyProtection="1">
      <alignment horizontal="center" vertical="center"/>
      <protection locked="0"/>
    </xf>
    <xf numFmtId="3" fontId="50" fillId="4" borderId="84" xfId="16" applyNumberFormat="1" applyFont="1" applyFill="1" applyBorder="1" applyAlignment="1" applyProtection="1">
      <alignment horizontal="center" vertical="center"/>
      <protection locked="0"/>
    </xf>
    <xf numFmtId="9" fontId="50" fillId="4" borderId="83" xfId="16" applyFont="1" applyFill="1" applyBorder="1" applyAlignment="1" applyProtection="1">
      <alignment horizontal="center" vertical="center"/>
      <protection locked="0"/>
    </xf>
    <xf numFmtId="9" fontId="50" fillId="4" borderId="21" xfId="16" applyFont="1" applyFill="1" applyBorder="1" applyAlignment="1" applyProtection="1">
      <alignment horizontal="center" vertical="center"/>
      <protection locked="0"/>
    </xf>
    <xf numFmtId="9" fontId="50" fillId="4" borderId="45" xfId="16" applyNumberFormat="1" applyFont="1" applyFill="1" applyBorder="1" applyAlignment="1" applyProtection="1">
      <alignment horizontal="center" vertical="center"/>
      <protection locked="0"/>
    </xf>
    <xf numFmtId="9" fontId="50" fillId="4" borderId="23" xfId="16" applyNumberFormat="1" applyFont="1" applyFill="1" applyBorder="1" applyAlignment="1" applyProtection="1">
      <alignment horizontal="center" vertical="center"/>
      <protection locked="0"/>
    </xf>
    <xf numFmtId="1" fontId="50" fillId="4" borderId="0" xfId="16" applyNumberFormat="1" applyFont="1" applyFill="1" applyBorder="1" applyAlignment="1" applyProtection="1">
      <alignment horizontal="center" vertical="center"/>
      <protection locked="0"/>
    </xf>
    <xf numFmtId="1" fontId="50" fillId="4" borderId="58" xfId="16" applyNumberFormat="1" applyFont="1" applyFill="1" applyBorder="1" applyAlignment="1" applyProtection="1">
      <alignment horizontal="center" vertical="center"/>
      <protection locked="0"/>
    </xf>
    <xf numFmtId="10" fontId="50" fillId="4" borderId="45" xfId="16" applyNumberFormat="1" applyFont="1" applyFill="1" applyBorder="1" applyAlignment="1" applyProtection="1">
      <alignment horizontal="center" vertical="center"/>
      <protection locked="0"/>
    </xf>
    <xf numFmtId="10" fontId="50" fillId="4" borderId="23" xfId="16" applyNumberFormat="1" applyFont="1" applyFill="1" applyBorder="1" applyAlignment="1" applyProtection="1">
      <alignment horizontal="center" vertical="center"/>
      <protection locked="0"/>
    </xf>
    <xf numFmtId="2" fontId="50" fillId="4" borderId="45" xfId="16" applyNumberFormat="1" applyFont="1" applyFill="1" applyBorder="1" applyAlignment="1" applyProtection="1">
      <alignment horizontal="center" vertical="center"/>
      <protection locked="0"/>
    </xf>
    <xf numFmtId="2" fontId="50" fillId="4" borderId="23" xfId="16" applyNumberFormat="1" applyFont="1" applyFill="1" applyBorder="1" applyAlignment="1" applyProtection="1">
      <alignment horizontal="center" vertical="center"/>
      <protection locked="0"/>
    </xf>
    <xf numFmtId="170" fontId="50" fillId="4" borderId="45" xfId="16" applyNumberFormat="1" applyFont="1" applyFill="1" applyBorder="1" applyAlignment="1" applyProtection="1">
      <alignment horizontal="center" vertical="center"/>
      <protection locked="0"/>
    </xf>
    <xf numFmtId="170" fontId="50" fillId="4" borderId="23" xfId="16" applyNumberFormat="1" applyFont="1" applyFill="1" applyBorder="1" applyAlignment="1" applyProtection="1">
      <alignment horizontal="center" vertical="center"/>
      <protection locked="0"/>
    </xf>
    <xf numFmtId="4" fontId="50" fillId="4" borderId="45" xfId="16" applyNumberFormat="1" applyFont="1" applyFill="1" applyBorder="1" applyAlignment="1" applyProtection="1">
      <alignment horizontal="center" vertical="center"/>
      <protection locked="0"/>
    </xf>
    <xf numFmtId="4" fontId="50" fillId="4" borderId="23" xfId="16" applyNumberFormat="1" applyFont="1" applyFill="1" applyBorder="1" applyAlignment="1" applyProtection="1">
      <alignment horizontal="center" vertical="center"/>
      <protection locked="0"/>
    </xf>
    <xf numFmtId="4" fontId="50" fillId="4" borderId="82" xfId="16" applyNumberFormat="1" applyFont="1" applyFill="1" applyBorder="1" applyAlignment="1" applyProtection="1">
      <alignment horizontal="center" vertical="center"/>
      <protection locked="0"/>
    </xf>
    <xf numFmtId="4" fontId="50" fillId="4" borderId="19" xfId="16" applyNumberFormat="1" applyFont="1" applyFill="1" applyBorder="1" applyAlignment="1" applyProtection="1">
      <alignment horizontal="center" vertical="center"/>
      <protection locked="0"/>
    </xf>
    <xf numFmtId="1" fontId="56" fillId="9" borderId="83" xfId="16" applyNumberFormat="1" applyFont="1" applyFill="1" applyBorder="1" applyAlignment="1" applyProtection="1">
      <alignment horizontal="center" vertical="center"/>
    </xf>
    <xf numFmtId="1" fontId="56" fillId="9" borderId="21" xfId="16" applyNumberFormat="1" applyFont="1" applyFill="1" applyBorder="1" applyAlignment="1" applyProtection="1">
      <alignment horizontal="center" vertical="center"/>
    </xf>
    <xf numFmtId="167" fontId="54" fillId="9" borderId="16" xfId="15" applyNumberFormat="1" applyFont="1" applyFill="1" applyBorder="1" applyAlignment="1">
      <alignment horizontal="center" vertical="center" wrapText="1"/>
    </xf>
    <xf numFmtId="167" fontId="54" fillId="9" borderId="57" xfId="15" applyNumberFormat="1" applyFont="1" applyFill="1" applyBorder="1" applyAlignment="1">
      <alignment horizontal="center" vertical="center" wrapText="1"/>
    </xf>
    <xf numFmtId="167" fontId="32" fillId="0" borderId="43" xfId="15" applyNumberFormat="1" applyFont="1" applyFill="1" applyBorder="1" applyAlignment="1">
      <alignment horizontal="center" vertical="center" wrapText="1"/>
    </xf>
    <xf numFmtId="167" fontId="32" fillId="0" borderId="0" xfId="15" applyNumberFormat="1" applyFont="1" applyFill="1" applyBorder="1" applyAlignment="1">
      <alignment horizontal="center" vertical="center" wrapText="1"/>
    </xf>
    <xf numFmtId="167" fontId="58" fillId="4" borderId="57" xfId="15" applyNumberFormat="1" applyFont="1" applyFill="1" applyBorder="1" applyAlignment="1" applyProtection="1">
      <alignment horizontal="center" vertical="center"/>
      <protection locked="0"/>
    </xf>
    <xf numFmtId="167" fontId="58" fillId="4" borderId="17" xfId="15" applyNumberFormat="1" applyFont="1" applyFill="1" applyBorder="1" applyAlignment="1" applyProtection="1">
      <alignment horizontal="center" vertical="center"/>
      <protection locked="0"/>
    </xf>
    <xf numFmtId="9" fontId="50" fillId="4" borderId="106" xfId="16" applyFont="1" applyFill="1" applyBorder="1" applyAlignment="1" applyProtection="1">
      <alignment horizontal="center" vertical="center"/>
      <protection locked="0"/>
    </xf>
    <xf numFmtId="9" fontId="50" fillId="4" borderId="60" xfId="16" applyFont="1" applyFill="1" applyBorder="1" applyAlignment="1" applyProtection="1">
      <alignment horizontal="center" vertical="center"/>
      <protection locked="0"/>
    </xf>
    <xf numFmtId="4" fontId="50" fillId="4" borderId="83" xfId="16" applyNumberFormat="1" applyFont="1" applyFill="1" applyBorder="1" applyAlignment="1" applyProtection="1">
      <alignment horizontal="center" vertical="center"/>
      <protection locked="0"/>
    </xf>
    <xf numFmtId="4" fontId="50" fillId="4" borderId="21" xfId="16" applyNumberFormat="1" applyFont="1" applyFill="1" applyBorder="1" applyAlignment="1" applyProtection="1">
      <alignment horizontal="center" vertical="center"/>
      <protection locked="0"/>
    </xf>
    <xf numFmtId="3" fontId="50" fillId="4" borderId="45" xfId="15" applyNumberFormat="1" applyFont="1" applyFill="1" applyBorder="1" applyAlignment="1" applyProtection="1">
      <alignment horizontal="center" vertical="center"/>
      <protection locked="0"/>
    </xf>
    <xf numFmtId="3" fontId="50" fillId="4" borderId="23" xfId="15" applyNumberFormat="1" applyFont="1" applyFill="1" applyBorder="1" applyAlignment="1" applyProtection="1">
      <alignment horizontal="center" vertical="center"/>
      <protection locked="0"/>
    </xf>
    <xf numFmtId="1" fontId="58" fillId="4" borderId="57" xfId="15" applyNumberFormat="1" applyFont="1" applyFill="1" applyBorder="1" applyAlignment="1" applyProtection="1">
      <alignment horizontal="center" vertical="center"/>
      <protection locked="0"/>
    </xf>
    <xf numFmtId="1" fontId="58" fillId="4" borderId="17" xfId="15" applyNumberFormat="1" applyFont="1" applyFill="1" applyBorder="1" applyAlignment="1" applyProtection="1">
      <alignment horizontal="center" vertical="center"/>
      <protection locked="0"/>
    </xf>
    <xf numFmtId="1" fontId="58" fillId="4" borderId="57" xfId="15" applyNumberFormat="1" applyFont="1" applyFill="1" applyBorder="1" applyAlignment="1">
      <alignment horizontal="center" vertical="center"/>
    </xf>
    <xf numFmtId="1" fontId="58" fillId="4" borderId="17" xfId="15" applyNumberFormat="1" applyFont="1" applyFill="1" applyBorder="1" applyAlignment="1">
      <alignment horizontal="center" vertical="center"/>
    </xf>
    <xf numFmtId="3" fontId="50" fillId="4" borderId="82" xfId="16" applyNumberFormat="1" applyFont="1" applyFill="1" applyBorder="1" applyAlignment="1" applyProtection="1">
      <alignment horizontal="center" vertical="center"/>
      <protection locked="0"/>
    </xf>
    <xf numFmtId="3" fontId="50" fillId="4" borderId="19" xfId="16" applyNumberFormat="1" applyFont="1" applyFill="1" applyBorder="1" applyAlignment="1" applyProtection="1">
      <alignment horizontal="center" vertical="center"/>
      <protection locked="0"/>
    </xf>
    <xf numFmtId="3" fontId="56" fillId="7" borderId="57" xfId="0" applyNumberFormat="1" applyFont="1" applyFill="1" applyBorder="1" applyAlignment="1">
      <alignment horizontal="center" vertical="center"/>
    </xf>
    <xf numFmtId="3" fontId="56" fillId="7" borderId="17" xfId="0" applyNumberFormat="1" applyFont="1" applyFill="1" applyBorder="1" applyAlignment="1">
      <alignment horizontal="center" vertical="center"/>
    </xf>
    <xf numFmtId="3" fontId="56" fillId="7" borderId="82" xfId="0" applyNumberFormat="1" applyFont="1" applyFill="1" applyBorder="1" applyAlignment="1">
      <alignment horizontal="center" vertical="center"/>
    </xf>
    <xf numFmtId="3" fontId="56" fillId="7" borderId="19" xfId="0" applyNumberFormat="1" applyFont="1" applyFill="1" applyBorder="1" applyAlignment="1">
      <alignment horizontal="center" vertical="center"/>
    </xf>
    <xf numFmtId="3" fontId="56" fillId="7" borderId="45" xfId="0" applyNumberFormat="1" applyFont="1" applyFill="1" applyBorder="1" applyAlignment="1">
      <alignment horizontal="center" vertical="center"/>
    </xf>
    <xf numFmtId="3" fontId="56" fillId="7" borderId="23" xfId="0" applyNumberFormat="1" applyFont="1" applyFill="1" applyBorder="1" applyAlignment="1">
      <alignment horizontal="center" vertical="center"/>
    </xf>
    <xf numFmtId="3" fontId="56" fillId="7" borderId="83" xfId="0" applyNumberFormat="1" applyFont="1" applyFill="1" applyBorder="1" applyAlignment="1">
      <alignment horizontal="center" vertical="center"/>
    </xf>
    <xf numFmtId="3" fontId="56" fillId="7" borderId="21" xfId="0" applyNumberFormat="1" applyFont="1" applyFill="1" applyBorder="1" applyAlignment="1">
      <alignment horizontal="center" vertical="center"/>
    </xf>
    <xf numFmtId="0" fontId="71" fillId="6" borderId="62" xfId="0" applyFont="1" applyFill="1" applyBorder="1" applyAlignment="1">
      <alignment horizontal="center" vertical="center"/>
    </xf>
    <xf numFmtId="0" fontId="71" fillId="6" borderId="25" xfId="0" applyFont="1" applyFill="1" applyBorder="1" applyAlignment="1">
      <alignment horizontal="center" vertical="center"/>
    </xf>
    <xf numFmtId="0" fontId="71" fillId="6" borderId="0" xfId="0" applyFont="1" applyFill="1" applyBorder="1" applyAlignment="1">
      <alignment horizontal="center" vertical="center"/>
    </xf>
    <xf numFmtId="0" fontId="71" fillId="6" borderId="58" xfId="0" applyFont="1" applyFill="1" applyBorder="1" applyAlignment="1">
      <alignment horizontal="center" vertical="center"/>
    </xf>
    <xf numFmtId="0" fontId="71" fillId="18" borderId="62" xfId="0" applyFont="1" applyFill="1" applyBorder="1" applyAlignment="1">
      <alignment horizontal="center" vertical="center"/>
    </xf>
    <xf numFmtId="0" fontId="71" fillId="18" borderId="0" xfId="0" applyFont="1" applyFill="1" applyBorder="1" applyAlignment="1">
      <alignment horizontal="center" vertical="center"/>
    </xf>
    <xf numFmtId="0" fontId="71" fillId="8" borderId="62" xfId="0" applyFont="1" applyFill="1" applyBorder="1" applyAlignment="1">
      <alignment horizontal="center" vertical="center"/>
    </xf>
    <xf numFmtId="0" fontId="71" fillId="8" borderId="0" xfId="0" applyFont="1" applyFill="1" applyBorder="1" applyAlignment="1">
      <alignment horizontal="center" vertical="center"/>
    </xf>
    <xf numFmtId="0" fontId="71" fillId="11" borderId="62" xfId="0" applyFont="1" applyFill="1" applyBorder="1" applyAlignment="1">
      <alignment horizontal="center" vertical="center"/>
    </xf>
    <xf numFmtId="0" fontId="71" fillId="11" borderId="0" xfId="0" applyFont="1" applyFill="1" applyBorder="1" applyAlignment="1">
      <alignment horizontal="center" vertical="center"/>
    </xf>
    <xf numFmtId="0" fontId="32" fillId="2" borderId="16" xfId="0" applyFont="1" applyFill="1" applyBorder="1" applyAlignment="1" applyProtection="1">
      <alignment horizontal="center" vertical="center"/>
    </xf>
    <xf numFmtId="0" fontId="32" fillId="2" borderId="57" xfId="0" applyFont="1" applyFill="1" applyBorder="1" applyAlignment="1" applyProtection="1">
      <alignment horizontal="center" vertical="center"/>
    </xf>
    <xf numFmtId="0" fontId="32" fillId="2" borderId="17" xfId="0" applyFont="1" applyFill="1" applyBorder="1" applyAlignment="1" applyProtection="1">
      <alignment horizontal="center" vertical="center"/>
    </xf>
    <xf numFmtId="0" fontId="32" fillId="2" borderId="107" xfId="0" applyFont="1" applyFill="1" applyBorder="1" applyAlignment="1" applyProtection="1">
      <alignment horizontal="center" vertical="center"/>
    </xf>
    <xf numFmtId="0" fontId="32" fillId="2" borderId="24" xfId="0" applyFont="1" applyFill="1" applyBorder="1" applyAlignment="1" applyProtection="1">
      <alignment horizontal="center" vertical="center"/>
    </xf>
    <xf numFmtId="0" fontId="32" fillId="2" borderId="62" xfId="0" applyFont="1" applyFill="1" applyBorder="1" applyAlignment="1" applyProtection="1">
      <alignment horizontal="center" vertical="center"/>
    </xf>
    <xf numFmtId="0" fontId="32" fillId="2" borderId="43"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59" xfId="0" applyFont="1" applyFill="1" applyBorder="1" applyAlignment="1" applyProtection="1">
      <alignment horizontal="center" vertical="center"/>
    </xf>
    <xf numFmtId="0" fontId="32" fillId="2" borderId="106" xfId="0" applyFont="1" applyFill="1" applyBorder="1" applyAlignment="1" applyProtection="1">
      <alignment horizontal="center" vertical="center"/>
    </xf>
    <xf numFmtId="1" fontId="56" fillId="9" borderId="83" xfId="0" applyNumberFormat="1" applyFont="1" applyFill="1" applyBorder="1" applyAlignment="1">
      <alignment horizontal="center" vertical="center"/>
    </xf>
    <xf numFmtId="1" fontId="56" fillId="9" borderId="21" xfId="0" applyNumberFormat="1" applyFont="1" applyFill="1" applyBorder="1" applyAlignment="1">
      <alignment horizontal="center" vertical="center"/>
    </xf>
    <xf numFmtId="1" fontId="56" fillId="9" borderId="135" xfId="0" applyNumberFormat="1" applyFont="1" applyFill="1" applyBorder="1" applyAlignment="1">
      <alignment horizontal="center" vertical="center"/>
    </xf>
    <xf numFmtId="3" fontId="56" fillId="9" borderId="42" xfId="16" applyNumberFormat="1" applyFont="1" applyFill="1" applyBorder="1" applyAlignment="1" applyProtection="1">
      <alignment horizontal="center" vertical="center"/>
    </xf>
    <xf numFmtId="3" fontId="56" fillId="9" borderId="84" xfId="16" applyNumberFormat="1" applyFont="1" applyFill="1" applyBorder="1" applyAlignment="1" applyProtection="1">
      <alignment horizontal="center" vertical="center"/>
    </xf>
    <xf numFmtId="10" fontId="56" fillId="9" borderId="45" xfId="16" applyNumberFormat="1" applyFont="1" applyFill="1" applyBorder="1" applyAlignment="1" applyProtection="1">
      <alignment horizontal="center" vertical="center"/>
    </xf>
    <xf numFmtId="10" fontId="56" fillId="9" borderId="23" xfId="16" applyNumberFormat="1" applyFont="1" applyFill="1" applyBorder="1" applyAlignment="1" applyProtection="1">
      <alignment horizontal="center" vertical="center"/>
    </xf>
    <xf numFmtId="9" fontId="56" fillId="9" borderId="45" xfId="16" applyNumberFormat="1" applyFont="1" applyFill="1" applyBorder="1" applyAlignment="1" applyProtection="1">
      <alignment horizontal="center" vertical="center"/>
    </xf>
    <xf numFmtId="9" fontId="56" fillId="9" borderId="23" xfId="16" applyNumberFormat="1" applyFont="1" applyFill="1" applyBorder="1" applyAlignment="1" applyProtection="1">
      <alignment horizontal="center" vertical="center"/>
    </xf>
    <xf numFmtId="1" fontId="56" fillId="9" borderId="45" xfId="16" applyNumberFormat="1" applyFont="1" applyFill="1" applyBorder="1" applyAlignment="1" applyProtection="1">
      <alignment horizontal="center" vertical="center"/>
    </xf>
    <xf numFmtId="1" fontId="56" fillId="9" borderId="23" xfId="16" applyNumberFormat="1" applyFont="1" applyFill="1" applyBorder="1" applyAlignment="1" applyProtection="1">
      <alignment horizontal="center" vertical="center"/>
    </xf>
    <xf numFmtId="4" fontId="56" fillId="9" borderId="45" xfId="16" applyNumberFormat="1" applyFont="1" applyFill="1" applyBorder="1" applyAlignment="1" applyProtection="1">
      <alignment horizontal="center" vertical="center"/>
    </xf>
    <xf numFmtId="4" fontId="56" fillId="9" borderId="23" xfId="16" applyNumberFormat="1" applyFont="1" applyFill="1" applyBorder="1" applyAlignment="1" applyProtection="1">
      <alignment horizontal="center" vertical="center"/>
    </xf>
    <xf numFmtId="0" fontId="32" fillId="5" borderId="1" xfId="0" applyFont="1" applyFill="1" applyBorder="1" applyAlignment="1" applyProtection="1">
      <alignment horizontal="center" vertical="center"/>
    </xf>
    <xf numFmtId="0" fontId="32" fillId="5" borderId="0" xfId="0" applyFont="1" applyFill="1" applyBorder="1" applyAlignment="1" applyProtection="1">
      <alignment horizontal="center" vertical="center"/>
    </xf>
    <xf numFmtId="0" fontId="31" fillId="5" borderId="0" xfId="0" applyFont="1" applyFill="1" applyAlignment="1" applyProtection="1">
      <alignment horizontal="left" vertical="center"/>
    </xf>
    <xf numFmtId="0" fontId="36" fillId="0" borderId="43" xfId="0" applyFont="1" applyBorder="1" applyAlignment="1">
      <alignment horizontal="center" vertical="center"/>
    </xf>
    <xf numFmtId="3" fontId="35" fillId="0" borderId="43" xfId="0" applyNumberFormat="1" applyFont="1" applyFill="1" applyBorder="1" applyAlignment="1" applyProtection="1">
      <alignment horizontal="center" vertical="center"/>
    </xf>
    <xf numFmtId="0" fontId="49" fillId="0" borderId="43" xfId="0" applyFont="1" applyBorder="1" applyAlignment="1">
      <alignment horizontal="center" vertical="center"/>
    </xf>
    <xf numFmtId="0" fontId="22" fillId="6" borderId="33" xfId="0" applyFont="1" applyFill="1" applyBorder="1" applyAlignment="1">
      <alignment horizontal="center" vertical="center"/>
    </xf>
    <xf numFmtId="0" fontId="22" fillId="6" borderId="61" xfId="0" applyFont="1" applyFill="1" applyBorder="1" applyAlignment="1">
      <alignment horizontal="center" vertical="center"/>
    </xf>
    <xf numFmtId="0" fontId="22" fillId="6" borderId="80" xfId="0" applyFont="1" applyFill="1" applyBorder="1" applyAlignment="1">
      <alignment horizontal="center" vertical="center"/>
    </xf>
    <xf numFmtId="0" fontId="22" fillId="6" borderId="10" xfId="0" applyFont="1" applyFill="1" applyBorder="1" applyAlignment="1">
      <alignment horizontal="center" vertical="center"/>
    </xf>
    <xf numFmtId="0" fontId="22" fillId="0" borderId="43" xfId="0" applyFont="1" applyBorder="1" applyAlignment="1">
      <alignment horizontal="center" wrapText="1"/>
    </xf>
    <xf numFmtId="0" fontId="22" fillId="0" borderId="0" xfId="0" applyFont="1" applyBorder="1" applyAlignment="1">
      <alignment horizontal="center" wrapText="1"/>
    </xf>
    <xf numFmtId="9" fontId="50" fillId="4" borderId="57" xfId="16" applyFont="1" applyFill="1" applyBorder="1" applyAlignment="1">
      <alignment horizontal="center" vertical="center"/>
    </xf>
    <xf numFmtId="9" fontId="50" fillId="4" borderId="17" xfId="16" applyFont="1" applyFill="1" applyBorder="1" applyAlignment="1">
      <alignment horizontal="center" vertical="center"/>
    </xf>
    <xf numFmtId="0" fontId="65" fillId="6" borderId="44" xfId="0" applyFont="1" applyFill="1" applyBorder="1" applyAlignment="1">
      <alignment horizontal="left" vertical="center"/>
    </xf>
    <xf numFmtId="0" fontId="65" fillId="6" borderId="45" xfId="0" applyFont="1" applyFill="1" applyBorder="1" applyAlignment="1">
      <alignment horizontal="left" vertical="center"/>
    </xf>
    <xf numFmtId="0" fontId="22" fillId="6" borderId="30" xfId="0" applyFont="1" applyFill="1" applyBorder="1" applyAlignment="1">
      <alignment horizontal="left" vertical="center"/>
    </xf>
    <xf numFmtId="0" fontId="22" fillId="6" borderId="31" xfId="0" applyFont="1" applyFill="1" applyBorder="1" applyAlignment="1">
      <alignment horizontal="left" vertical="center"/>
    </xf>
    <xf numFmtId="168" fontId="56" fillId="9" borderId="57" xfId="16" applyNumberFormat="1" applyFont="1" applyFill="1" applyBorder="1" applyAlignment="1">
      <alignment horizontal="center" vertical="center"/>
    </xf>
    <xf numFmtId="168" fontId="56" fillId="9" borderId="17" xfId="16" applyNumberFormat="1" applyFont="1" applyFill="1" applyBorder="1" applyAlignment="1">
      <alignment horizontal="center" vertical="center"/>
    </xf>
    <xf numFmtId="172" fontId="56" fillId="9" borderId="57" xfId="16" applyNumberFormat="1" applyFont="1" applyFill="1" applyBorder="1" applyAlignment="1">
      <alignment horizontal="center" vertical="center"/>
    </xf>
    <xf numFmtId="172" fontId="56" fillId="9" borderId="17" xfId="16" applyNumberFormat="1" applyFont="1" applyFill="1" applyBorder="1" applyAlignment="1">
      <alignment horizontal="center" vertical="center"/>
    </xf>
    <xf numFmtId="0" fontId="65" fillId="6" borderId="50" xfId="0" applyFont="1" applyFill="1" applyBorder="1" applyAlignment="1">
      <alignment horizontal="left" vertical="center"/>
    </xf>
    <xf numFmtId="0" fontId="65" fillId="6" borderId="51" xfId="0" applyFont="1" applyFill="1" applyBorder="1" applyAlignment="1">
      <alignment horizontal="left" vertical="center"/>
    </xf>
    <xf numFmtId="0" fontId="32" fillId="2" borderId="13" xfId="0" applyFont="1" applyFill="1" applyBorder="1" applyAlignment="1" applyProtection="1">
      <alignment horizontal="left" vertical="center"/>
    </xf>
    <xf numFmtId="0" fontId="32" fillId="2" borderId="14" xfId="0" applyFont="1" applyFill="1" applyBorder="1" applyAlignment="1" applyProtection="1">
      <alignment horizontal="left" vertical="center"/>
    </xf>
    <xf numFmtId="171" fontId="56" fillId="9" borderId="57" xfId="16" applyNumberFormat="1" applyFont="1" applyFill="1" applyBorder="1" applyAlignment="1">
      <alignment horizontal="center" vertical="center"/>
    </xf>
    <xf numFmtId="171" fontId="56" fillId="9" borderId="17" xfId="16" applyNumberFormat="1" applyFont="1" applyFill="1" applyBorder="1" applyAlignment="1">
      <alignment horizontal="center" vertical="center"/>
    </xf>
    <xf numFmtId="171" fontId="71" fillId="9" borderId="24" xfId="0" applyNumberFormat="1" applyFont="1" applyFill="1" applyBorder="1" applyAlignment="1">
      <alignment horizontal="center" vertical="center"/>
    </xf>
    <xf numFmtId="171" fontId="71" fillId="9" borderId="25" xfId="0" applyNumberFormat="1" applyFont="1" applyFill="1" applyBorder="1" applyAlignment="1">
      <alignment horizontal="center" vertical="center"/>
    </xf>
    <xf numFmtId="171" fontId="71" fillId="9" borderId="43" xfId="0" applyNumberFormat="1" applyFont="1" applyFill="1" applyBorder="1" applyAlignment="1">
      <alignment horizontal="center" vertical="center"/>
    </xf>
    <xf numFmtId="171" fontId="71" fillId="9" borderId="58" xfId="0" applyNumberFormat="1" applyFont="1" applyFill="1" applyBorder="1" applyAlignment="1">
      <alignment horizontal="center" vertical="center"/>
    </xf>
    <xf numFmtId="171" fontId="71" fillId="9" borderId="59" xfId="0" applyNumberFormat="1" applyFont="1" applyFill="1" applyBorder="1" applyAlignment="1">
      <alignment horizontal="center" vertical="center"/>
    </xf>
    <xf numFmtId="171" fontId="71" fillId="9" borderId="60" xfId="0" applyNumberFormat="1" applyFont="1" applyFill="1" applyBorder="1" applyAlignment="1">
      <alignment horizontal="center" vertical="center"/>
    </xf>
    <xf numFmtId="9" fontId="56" fillId="9" borderId="57" xfId="16" applyFont="1" applyFill="1" applyBorder="1" applyAlignment="1">
      <alignment horizontal="center" vertical="center"/>
    </xf>
    <xf numFmtId="9" fontId="56" fillId="9" borderId="17" xfId="16" applyFont="1" applyFill="1" applyBorder="1" applyAlignment="1">
      <alignment horizontal="center" vertical="center"/>
    </xf>
    <xf numFmtId="2" fontId="71" fillId="9" borderId="24" xfId="0" applyNumberFormat="1" applyFont="1" applyFill="1" applyBorder="1" applyAlignment="1">
      <alignment horizontal="center" vertical="center"/>
    </xf>
    <xf numFmtId="2" fontId="71" fillId="9" borderId="25" xfId="0" applyNumberFormat="1" applyFont="1" applyFill="1" applyBorder="1" applyAlignment="1">
      <alignment horizontal="center" vertical="center"/>
    </xf>
    <xf numFmtId="2" fontId="71" fillId="9" borderId="43" xfId="0" applyNumberFormat="1" applyFont="1" applyFill="1" applyBorder="1" applyAlignment="1">
      <alignment horizontal="center" vertical="center"/>
    </xf>
    <xf numFmtId="2" fontId="71" fillId="9" borderId="58" xfId="0" applyNumberFormat="1" applyFont="1" applyFill="1" applyBorder="1" applyAlignment="1">
      <alignment horizontal="center" vertical="center"/>
    </xf>
    <xf numFmtId="2" fontId="71" fillId="9" borderId="59" xfId="0" applyNumberFormat="1" applyFont="1" applyFill="1" applyBorder="1" applyAlignment="1">
      <alignment horizontal="center" vertical="center"/>
    </xf>
    <xf numFmtId="2" fontId="71" fillId="9" borderId="60" xfId="0" applyNumberFormat="1" applyFont="1" applyFill="1" applyBorder="1" applyAlignment="1">
      <alignment horizontal="center" vertical="center"/>
    </xf>
    <xf numFmtId="0" fontId="71" fillId="0" borderId="0" xfId="0" applyFont="1" applyAlignment="1">
      <alignment horizontal="center" vertical="center" wrapText="1"/>
    </xf>
    <xf numFmtId="0" fontId="14" fillId="6" borderId="30" xfId="0" applyFont="1" applyFill="1" applyBorder="1" applyAlignment="1">
      <alignment horizontal="left" vertical="center"/>
    </xf>
    <xf numFmtId="0" fontId="14" fillId="6" borderId="31" xfId="0" applyFont="1" applyFill="1" applyBorder="1" applyAlignment="1">
      <alignment horizontal="left" vertical="center"/>
    </xf>
    <xf numFmtId="0" fontId="22" fillId="6" borderId="44" xfId="0" applyFont="1" applyFill="1" applyBorder="1" applyAlignment="1">
      <alignment horizontal="left" vertical="center"/>
    </xf>
    <xf numFmtId="0" fontId="22" fillId="6" borderId="45" xfId="0" applyFont="1" applyFill="1" applyBorder="1" applyAlignment="1">
      <alignment horizontal="left" vertical="center"/>
    </xf>
    <xf numFmtId="0" fontId="14" fillId="6" borderId="41" xfId="0" applyFont="1" applyFill="1" applyBorder="1" applyAlignment="1">
      <alignment horizontal="left" vertical="center"/>
    </xf>
    <xf numFmtId="0" fontId="14" fillId="6" borderId="42" xfId="0" applyFont="1" applyFill="1" applyBorder="1" applyAlignment="1">
      <alignment horizontal="left" vertical="center"/>
    </xf>
    <xf numFmtId="1" fontId="50" fillId="4" borderId="57" xfId="16" applyNumberFormat="1" applyFont="1" applyFill="1" applyBorder="1" applyAlignment="1">
      <alignment horizontal="center" vertical="center"/>
    </xf>
    <xf numFmtId="1" fontId="50" fillId="4" borderId="17" xfId="16" applyNumberFormat="1" applyFont="1" applyFill="1" applyBorder="1" applyAlignment="1">
      <alignment horizontal="center" vertical="center"/>
    </xf>
    <xf numFmtId="9" fontId="50" fillId="4" borderId="14" xfId="16" applyFont="1" applyFill="1" applyBorder="1" applyAlignment="1">
      <alignment horizontal="center" vertical="center"/>
    </xf>
    <xf numFmtId="9" fontId="50" fillId="4" borderId="15" xfId="16" applyFont="1" applyFill="1" applyBorder="1" applyAlignment="1">
      <alignment horizontal="center" vertical="center"/>
    </xf>
    <xf numFmtId="166" fontId="50" fillId="4" borderId="57" xfId="16" applyNumberFormat="1" applyFont="1" applyFill="1" applyBorder="1" applyAlignment="1">
      <alignment horizontal="center" vertical="center"/>
    </xf>
    <xf numFmtId="166" fontId="50" fillId="4" borderId="17" xfId="16" applyNumberFormat="1" applyFont="1" applyFill="1" applyBorder="1" applyAlignment="1">
      <alignment horizontal="center" vertical="center"/>
    </xf>
    <xf numFmtId="2" fontId="56" fillId="9" borderId="57" xfId="16" applyNumberFormat="1" applyFont="1" applyFill="1" applyBorder="1" applyAlignment="1">
      <alignment horizontal="center" vertical="center"/>
    </xf>
    <xf numFmtId="2" fontId="56" fillId="9" borderId="17" xfId="16" applyNumberFormat="1" applyFont="1" applyFill="1" applyBorder="1" applyAlignment="1">
      <alignment horizontal="center" vertical="center"/>
    </xf>
    <xf numFmtId="0" fontId="51" fillId="4" borderId="26" xfId="0" applyFont="1" applyFill="1" applyBorder="1" applyAlignment="1">
      <alignment horizontal="center" vertical="center" textRotation="90"/>
    </xf>
    <xf numFmtId="0" fontId="51" fillId="4" borderId="27" xfId="0" applyFont="1" applyFill="1" applyBorder="1" applyAlignment="1">
      <alignment horizontal="center" vertical="center" textRotation="90"/>
    </xf>
    <xf numFmtId="0" fontId="51" fillId="4" borderId="29" xfId="0" applyFont="1" applyFill="1" applyBorder="1" applyAlignment="1">
      <alignment horizontal="center" vertical="center" textRotation="90"/>
    </xf>
    <xf numFmtId="167" fontId="51" fillId="8" borderId="14" xfId="15" applyNumberFormat="1" applyFont="1" applyFill="1" applyBorder="1" applyAlignment="1">
      <alignment horizontal="center" vertical="center"/>
    </xf>
    <xf numFmtId="0" fontId="51" fillId="8" borderId="14" xfId="0" applyFont="1" applyFill="1" applyBorder="1" applyAlignment="1">
      <alignment horizontal="center" vertical="center"/>
    </xf>
    <xf numFmtId="0" fontId="51" fillId="8" borderId="15" xfId="0" applyFont="1" applyFill="1" applyBorder="1" applyAlignment="1">
      <alignment horizontal="center" vertical="center"/>
    </xf>
    <xf numFmtId="0" fontId="22" fillId="6" borderId="24" xfId="0" applyFont="1" applyFill="1" applyBorder="1" applyAlignment="1">
      <alignment horizontal="center" vertical="center"/>
    </xf>
    <xf numFmtId="0" fontId="22" fillId="6" borderId="25" xfId="0" applyFont="1" applyFill="1" applyBorder="1" applyAlignment="1">
      <alignment horizontal="center" vertical="center"/>
    </xf>
    <xf numFmtId="0" fontId="22" fillId="6" borderId="59" xfId="0" applyFont="1" applyFill="1" applyBorder="1" applyAlignment="1">
      <alignment horizontal="center" vertical="center"/>
    </xf>
    <xf numFmtId="0" fontId="22" fillId="6" borderId="60"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14" xfId="0" applyFont="1" applyFill="1" applyBorder="1" applyAlignment="1">
      <alignment horizontal="center" vertical="center"/>
    </xf>
    <xf numFmtId="1" fontId="31" fillId="2" borderId="100" xfId="0" applyNumberFormat="1" applyFont="1" applyFill="1" applyBorder="1" applyAlignment="1" applyProtection="1">
      <alignment horizontal="center" vertical="center"/>
    </xf>
    <xf numFmtId="1" fontId="31" fillId="2" borderId="89" xfId="0" applyNumberFormat="1" applyFont="1" applyFill="1" applyBorder="1" applyAlignment="1" applyProtection="1">
      <alignment horizontal="center" vertical="center"/>
    </xf>
    <xf numFmtId="169" fontId="53" fillId="10" borderId="93" xfId="20" applyNumberFormat="1" applyFont="1" applyFill="1" applyBorder="1" applyAlignment="1">
      <alignment horizontal="center" vertical="center"/>
    </xf>
    <xf numFmtId="169" fontId="53" fillId="10" borderId="94" xfId="20" applyNumberFormat="1" applyFont="1" applyFill="1" applyBorder="1" applyAlignment="1">
      <alignment horizontal="center" vertical="center"/>
    </xf>
    <xf numFmtId="3" fontId="53" fillId="10" borderId="95" xfId="20" applyNumberFormat="1" applyFont="1" applyFill="1" applyBorder="1" applyAlignment="1">
      <alignment horizontal="center" vertical="center"/>
    </xf>
    <xf numFmtId="3" fontId="53" fillId="10" borderId="96" xfId="20" applyNumberFormat="1" applyFont="1" applyFill="1" applyBorder="1" applyAlignment="1">
      <alignment horizontal="center" vertical="center"/>
    </xf>
    <xf numFmtId="3" fontId="53" fillId="10" borderId="97" xfId="20" applyNumberFormat="1" applyFont="1" applyFill="1" applyBorder="1" applyAlignment="1">
      <alignment horizontal="center" vertical="center"/>
    </xf>
    <xf numFmtId="3" fontId="53" fillId="10" borderId="98" xfId="20" applyNumberFormat="1" applyFont="1" applyFill="1" applyBorder="1" applyAlignment="1">
      <alignment horizontal="center" vertical="center"/>
    </xf>
    <xf numFmtId="0" fontId="22" fillId="12" borderId="13" xfId="0" applyFont="1" applyFill="1" applyBorder="1" applyAlignment="1">
      <alignment horizontal="center" vertical="center"/>
    </xf>
    <xf numFmtId="0" fontId="22" fillId="12" borderId="14" xfId="0" applyFont="1" applyFill="1" applyBorder="1" applyAlignment="1">
      <alignment horizontal="center" vertical="center"/>
    </xf>
    <xf numFmtId="0" fontId="22" fillId="12" borderId="15" xfId="0" applyFont="1" applyFill="1" applyBorder="1" applyAlignment="1">
      <alignment horizontal="center" vertical="center"/>
    </xf>
    <xf numFmtId="4" fontId="52" fillId="8" borderId="26" xfId="0" applyNumberFormat="1" applyFont="1" applyFill="1" applyBorder="1" applyAlignment="1">
      <alignment horizontal="center" vertical="center"/>
    </xf>
    <xf numFmtId="4" fontId="52" fillId="8" borderId="27" xfId="0" applyNumberFormat="1" applyFont="1" applyFill="1" applyBorder="1" applyAlignment="1">
      <alignment horizontal="center" vertical="center"/>
    </xf>
    <xf numFmtId="3" fontId="52" fillId="8" borderId="26" xfId="0" applyNumberFormat="1" applyFont="1" applyFill="1" applyBorder="1" applyAlignment="1">
      <alignment horizontal="center" vertical="center"/>
    </xf>
    <xf numFmtId="3" fontId="52" fillId="8" borderId="27" xfId="0" applyNumberFormat="1" applyFont="1" applyFill="1" applyBorder="1" applyAlignment="1">
      <alignment horizontal="center" vertical="center"/>
    </xf>
    <xf numFmtId="3" fontId="58" fillId="8" borderId="26" xfId="0" applyNumberFormat="1" applyFont="1" applyFill="1" applyBorder="1" applyAlignment="1">
      <alignment horizontal="center" vertical="center"/>
    </xf>
    <xf numFmtId="3" fontId="58" fillId="8" borderId="27" xfId="0" applyNumberFormat="1" applyFont="1" applyFill="1" applyBorder="1" applyAlignment="1">
      <alignment horizontal="center" vertical="center"/>
    </xf>
  </cellXfs>
  <cellStyles count="54">
    <cellStyle name="??" xfId="22"/>
    <cellStyle name="?? 2" xfId="23"/>
    <cellStyle name="Comma" xfId="15" builtinId="3"/>
    <cellStyle name="Comma 2" xfId="20"/>
    <cellStyle name="Comma 2 2" xfId="31"/>
    <cellStyle name="Comma 3" xfId="24"/>
    <cellStyle name="Comma 4" xfId="10"/>
    <cellStyle name="Comma 4 2" xfId="38"/>
    <cellStyle name="Comma 5" xfId="4"/>
    <cellStyle name="Comma 6" xfId="51"/>
    <cellStyle name="Dezimal 2" xfId="39"/>
    <cellStyle name="Normal" xfId="0" builtinId="0"/>
    <cellStyle name="Normal 10" xfId="17"/>
    <cellStyle name="Normal 10 2" xfId="35"/>
    <cellStyle name="Normal 10 3" xfId="45"/>
    <cellStyle name="Normal 11" xfId="52"/>
    <cellStyle name="Normal 2" xfId="1"/>
    <cellStyle name="Normal 2 2" xfId="14"/>
    <cellStyle name="Normal 2 2 2" xfId="32"/>
    <cellStyle name="Normal 2 3" xfId="9"/>
    <cellStyle name="Normal 2 3 2" xfId="36"/>
    <cellStyle name="Normal 2 4" xfId="19"/>
    <cellStyle name="Normal 3" xfId="2"/>
    <cellStyle name="Normal 3 2" xfId="3"/>
    <cellStyle name="Normal 3 2 2" xfId="25"/>
    <cellStyle name="Normal 3 3" xfId="26"/>
    <cellStyle name="Normal 4" xfId="6"/>
    <cellStyle name="Normal 4 2" xfId="33"/>
    <cellStyle name="Normal 5" xfId="5"/>
    <cellStyle name="Normal 5 2" xfId="13"/>
    <cellStyle name="Normal 5 3" xfId="42"/>
    <cellStyle name="Normal 6" xfId="7"/>
    <cellStyle name="Normal 6 2" xfId="21"/>
    <cellStyle name="Normal 6 3" xfId="43"/>
    <cellStyle name="Normal 7" xfId="8"/>
    <cellStyle name="Normal 7 2" xfId="27"/>
    <cellStyle name="Normal 7 3" xfId="44"/>
    <cellStyle name="Normal 8" xfId="11"/>
    <cellStyle name="Normal 8 2" xfId="28"/>
    <cellStyle name="Normal 9" xfId="12"/>
    <cellStyle name="Normal 9 2" xfId="29"/>
    <cellStyle name="Normal 9 2 2" xfId="37"/>
    <cellStyle name="Normal 9 2 2 2" xfId="48"/>
    <cellStyle name="Normal 9 2 3" xfId="46"/>
    <cellStyle name="Normal 9 3" xfId="34"/>
    <cellStyle name="Normal 9 3 2" xfId="47"/>
    <cellStyle name="Normal 9 4" xfId="49"/>
    <cellStyle name="Normal 9 4 2" xfId="50"/>
    <cellStyle name="Percent" xfId="16" builtinId="5"/>
    <cellStyle name="Percent 2" xfId="18"/>
    <cellStyle name="Percent 3" xfId="30"/>
    <cellStyle name="Percent 4" xfId="41"/>
    <cellStyle name="Percent 5" xfId="53"/>
    <cellStyle name="Standard 2" xfId="4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3F56"/>
      <rgbColor rgb="00256885"/>
      <rgbColor rgb="006CAAC0"/>
      <rgbColor rgb="00B2D2DE"/>
      <rgbColor rgb="00FFFFFF"/>
      <rgbColor rgb="00D6CBC2"/>
      <rgbColor rgb="0009BAFF"/>
      <rgbColor rgb="00FF960C"/>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5426"/>
      <color rgb="FF0091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3249435416373639E-2"/>
          <c:y val="5.085755412723978E-2"/>
          <c:w val="0.97675056458362641"/>
          <c:h val="0.86021913389935023"/>
        </c:manualLayout>
      </c:layout>
      <c:bar3DChart>
        <c:barDir val="col"/>
        <c:grouping val="stacked"/>
        <c:varyColors val="0"/>
        <c:ser>
          <c:idx val="0"/>
          <c:order val="0"/>
          <c:tx>
            <c:v>TCO</c:v>
          </c:tx>
          <c:invertIfNegative val="0"/>
          <c:dLbls>
            <c:spPr>
              <a:solidFill>
                <a:schemeClr val="accent1"/>
              </a:solidFill>
            </c:spPr>
            <c:txPr>
              <a:bodyPr/>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analysis'!$F$46:$U$46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gapWidth val="140"/>
        <c:gapDepth val="100"/>
        <c:shape val="box"/>
        <c:axId val="125305856"/>
        <c:axId val="111291200"/>
        <c:axId val="0"/>
      </c:bar3DChart>
      <c:catAx>
        <c:axId val="125305856"/>
        <c:scaling>
          <c:orientation val="minMax"/>
        </c:scaling>
        <c:delete val="0"/>
        <c:axPos val="b"/>
        <c:numFmt formatCode="0" sourceLinked="1"/>
        <c:majorTickMark val="out"/>
        <c:minorTickMark val="none"/>
        <c:tickLblPos val="nextTo"/>
        <c:txPr>
          <a:bodyPr/>
          <a:lstStyle/>
          <a:p>
            <a:pPr>
              <a:defRPr sz="1200"/>
            </a:pPr>
            <a:endParaRPr lang="de-DE"/>
          </a:p>
        </c:txPr>
        <c:crossAx val="111291200"/>
        <c:crosses val="autoZero"/>
        <c:auto val="1"/>
        <c:lblAlgn val="ctr"/>
        <c:lblOffset val="100"/>
        <c:noMultiLvlLbl val="0"/>
      </c:catAx>
      <c:valAx>
        <c:axId val="111291200"/>
        <c:scaling>
          <c:orientation val="minMax"/>
          <c:min val="2.5"/>
        </c:scaling>
        <c:delete val="0"/>
        <c:axPos val="l"/>
        <c:numFmt formatCode="0.0" sourceLinked="0"/>
        <c:majorTickMark val="out"/>
        <c:minorTickMark val="none"/>
        <c:tickLblPos val="nextTo"/>
        <c:txPr>
          <a:bodyPr/>
          <a:lstStyle/>
          <a:p>
            <a:pPr>
              <a:defRPr sz="1100"/>
            </a:pPr>
            <a:endParaRPr lang="de-DE"/>
          </a:p>
        </c:txPr>
        <c:crossAx val="125305856"/>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FC 18 m bus price [EUR]</a:t>
            </a:r>
          </a:p>
        </c:rich>
      </c:tx>
      <c:layout>
        <c:manualLayout>
          <c:xMode val="edge"/>
          <c:yMode val="edge"/>
          <c:x val="0.33105269262342857"/>
          <c:y val="3.1020869961978673E-2"/>
        </c:manualLayout>
      </c:layout>
      <c:overlay val="0"/>
    </c:title>
    <c:autoTitleDeleted val="0"/>
    <c:plotArea>
      <c:layout/>
      <c:lineChart>
        <c:grouping val="stacked"/>
        <c:varyColors val="0"/>
        <c:ser>
          <c:idx val="0"/>
          <c:order val="0"/>
          <c:tx>
            <c:v>FC bus price</c:v>
          </c:tx>
          <c:dLbls>
            <c:dLbl>
              <c:idx val="0"/>
              <c:layout>
                <c:manualLayout>
                  <c:x val="-3.7149220959039941E-2"/>
                  <c:y val="-3.8359993574632427E-2"/>
                </c:manualLayout>
              </c:layout>
              <c:showLegendKey val="0"/>
              <c:showVal val="1"/>
              <c:showCatName val="0"/>
              <c:showSerName val="0"/>
              <c:showPercent val="0"/>
              <c:showBubbleSize val="0"/>
            </c:dLbl>
            <c:dLbl>
              <c:idx val="5"/>
              <c:layout>
                <c:manualLayout>
                  <c:x val="-3.7149074702840311E-2"/>
                  <c:y val="-5.2309082147225974E-2"/>
                </c:manualLayout>
              </c:layout>
              <c:showLegendKey val="0"/>
              <c:showVal val="1"/>
              <c:showCatName val="0"/>
              <c:showSerName val="0"/>
              <c:showPercent val="0"/>
              <c:showBubbleSize val="0"/>
            </c:dLbl>
            <c:dLbl>
              <c:idx val="10"/>
              <c:layout>
                <c:manualLayout>
                  <c:x val="-5.0151250848834553E-2"/>
                  <c:y val="-5.2309082147226037E-2"/>
                </c:manualLayout>
              </c:layout>
              <c:numFmt formatCode="#,##0" sourceLinked="0"/>
              <c:spPr/>
              <c:txPr>
                <a:bodyPr/>
                <a:lstStyle/>
                <a:p>
                  <a:pPr algn="ctr" rtl="0">
                    <a:defRPr lang="en-US"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dLbl>
            <c:dLbl>
              <c:idx val="15"/>
              <c:layout>
                <c:manualLayout>
                  <c:x val="-9.2872686757100777E-3"/>
                  <c:y val="-4.5334812449286964E-2"/>
                </c:manualLayout>
              </c:layout>
              <c:showLegendKey val="0"/>
              <c:showVal val="1"/>
              <c:showCatName val="0"/>
              <c:showSerName val="0"/>
              <c:showPercent val="0"/>
              <c:showBubbleSize val="0"/>
            </c:dLbl>
            <c:numFmt formatCode="#,##0" sourceLinked="0"/>
            <c:txPr>
              <a:bodyPr/>
              <a:lstStyle/>
              <a:p>
                <a:pPr>
                  <a:defRPr sz="1100" b="1"/>
                </a:pPr>
                <a:endParaRPr lang="de-DE"/>
              </a:p>
            </c:txPr>
            <c:showLegendKey val="0"/>
            <c:showVal val="0"/>
            <c:showCatName val="0"/>
            <c:showSerName val="0"/>
            <c:showPercent val="0"/>
            <c:showBubbleSize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analysis'!$F$98:$U$98</c:f>
              <c:numCache>
                <c:formatCode>_-* #,##0\ _l_e_i_-;\-* #,##0\ _l_e_i_-;_-* "-"??\ _l_e_i_-;_-@_-</c:formatCode>
                <c:ptCount val="16"/>
                <c:pt idx="0">
                  <c:v>951700</c:v>
                </c:pt>
                <c:pt idx="1">
                  <c:v>913487.65441921132</c:v>
                </c:pt>
                <c:pt idx="2">
                  <c:v>875275.30883842369</c:v>
                </c:pt>
                <c:pt idx="3">
                  <c:v>837062.96325763501</c:v>
                </c:pt>
                <c:pt idx="4">
                  <c:v>798850.61767684738</c:v>
                </c:pt>
                <c:pt idx="5">
                  <c:v>760638.2720960587</c:v>
                </c:pt>
                <c:pt idx="6">
                  <c:v>739156.67242182198</c:v>
                </c:pt>
                <c:pt idx="7">
                  <c:v>718669.16488194349</c:v>
                </c:pt>
                <c:pt idx="8">
                  <c:v>699175.7494764236</c:v>
                </c:pt>
                <c:pt idx="9">
                  <c:v>680676.4262052601</c:v>
                </c:pt>
                <c:pt idx="10">
                  <c:v>663171.19506845507</c:v>
                </c:pt>
                <c:pt idx="11">
                  <c:v>651776.82698499039</c:v>
                </c:pt>
                <c:pt idx="12">
                  <c:v>640935.75229455181</c:v>
                </c:pt>
                <c:pt idx="13">
                  <c:v>630647.97099713923</c:v>
                </c:pt>
                <c:pt idx="14">
                  <c:v>620913.48309275194</c:v>
                </c:pt>
                <c:pt idx="15">
                  <c:v>611732.28858139156</c:v>
                </c:pt>
              </c:numCache>
            </c:numRef>
          </c:val>
          <c:smooth val="0"/>
        </c:ser>
        <c:dLbls>
          <c:showLegendKey val="0"/>
          <c:showVal val="0"/>
          <c:showCatName val="0"/>
          <c:showSerName val="0"/>
          <c:showPercent val="0"/>
          <c:showBubbleSize val="0"/>
        </c:dLbls>
        <c:marker val="1"/>
        <c:smooth val="0"/>
        <c:axId val="572021248"/>
        <c:axId val="570364992"/>
      </c:lineChart>
      <c:catAx>
        <c:axId val="572021248"/>
        <c:scaling>
          <c:orientation val="minMax"/>
        </c:scaling>
        <c:delete val="0"/>
        <c:axPos val="b"/>
        <c:numFmt formatCode="0" sourceLinked="1"/>
        <c:majorTickMark val="out"/>
        <c:minorTickMark val="none"/>
        <c:tickLblPos val="nextTo"/>
        <c:crossAx val="570364992"/>
        <c:crosses val="autoZero"/>
        <c:auto val="1"/>
        <c:lblAlgn val="ctr"/>
        <c:lblOffset val="100"/>
        <c:noMultiLvlLbl val="0"/>
      </c:catAx>
      <c:valAx>
        <c:axId val="570364992"/>
        <c:scaling>
          <c:orientation val="minMax"/>
          <c:min val="400000"/>
        </c:scaling>
        <c:delete val="0"/>
        <c:axPos val="l"/>
        <c:majorGridlines/>
        <c:numFmt formatCode="#,##0" sourceLinked="0"/>
        <c:majorTickMark val="out"/>
        <c:minorTickMark val="none"/>
        <c:tickLblPos val="nextTo"/>
        <c:crossAx val="572021248"/>
        <c:crosses val="autoZero"/>
        <c:crossBetween val="between"/>
      </c:valAx>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8180729165122521E-2"/>
          <c:y val="2.1428905264141831E-2"/>
          <c:w val="0.96091988333832401"/>
          <c:h val="0.90272702739239308"/>
        </c:manualLayout>
      </c:layout>
      <c:bar3DChart>
        <c:barDir val="col"/>
        <c:grouping val="stacked"/>
        <c:varyColors val="0"/>
        <c:ser>
          <c:idx val="0"/>
          <c:order val="0"/>
          <c:invertIfNegative val="0"/>
          <c:dLbls>
            <c:spPr>
              <a:solidFill>
                <a:schemeClr val="accent1"/>
              </a:solidFill>
            </c:spPr>
            <c:txPr>
              <a:bodyPr/>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analysis'!$F$62:$U$62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gapWidth val="140"/>
        <c:gapDepth val="100"/>
        <c:shape val="box"/>
        <c:axId val="125306880"/>
        <c:axId val="111292928"/>
        <c:axId val="0"/>
      </c:bar3DChart>
      <c:catAx>
        <c:axId val="125306880"/>
        <c:scaling>
          <c:orientation val="minMax"/>
        </c:scaling>
        <c:delete val="0"/>
        <c:axPos val="b"/>
        <c:numFmt formatCode="0" sourceLinked="1"/>
        <c:majorTickMark val="out"/>
        <c:minorTickMark val="none"/>
        <c:tickLblPos val="nextTo"/>
        <c:txPr>
          <a:bodyPr/>
          <a:lstStyle/>
          <a:p>
            <a:pPr>
              <a:defRPr sz="1200"/>
            </a:pPr>
            <a:endParaRPr lang="de-DE"/>
          </a:p>
        </c:txPr>
        <c:crossAx val="111292928"/>
        <c:crosses val="autoZero"/>
        <c:auto val="1"/>
        <c:lblAlgn val="ctr"/>
        <c:lblOffset val="100"/>
        <c:noMultiLvlLbl val="0"/>
      </c:catAx>
      <c:valAx>
        <c:axId val="111292928"/>
        <c:scaling>
          <c:orientation val="minMax"/>
          <c:min val="3"/>
        </c:scaling>
        <c:delete val="0"/>
        <c:axPos val="l"/>
        <c:numFmt formatCode="0.0" sourceLinked="0"/>
        <c:majorTickMark val="out"/>
        <c:minorTickMark val="none"/>
        <c:tickLblPos val="nextTo"/>
        <c:txPr>
          <a:bodyPr/>
          <a:lstStyle/>
          <a:p>
            <a:pPr>
              <a:defRPr sz="1100"/>
            </a:pPr>
            <a:endParaRPr lang="de-DE"/>
          </a:p>
        </c:txPr>
        <c:crossAx val="125306880"/>
        <c:crosses val="autoZero"/>
        <c:crossBetween val="between"/>
      </c:valAx>
    </c:plotArea>
    <c:plotVisOnly val="1"/>
    <c:dispBlanksAs val="gap"/>
    <c:showDLblsOverMax val="0"/>
  </c:chart>
  <c:printSettings>
    <c:headerFooter>
      <c:oddHeader>&amp;A</c:oddHeader>
      <c:oddFooter>Page &amp;P</c:oddFooter>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v>Fuel cell</c:v>
          </c:tx>
          <c:invertIfNegative val="0"/>
          <c:dLbls>
            <c:spPr>
              <a:solidFill>
                <a:schemeClr val="accent1"/>
              </a:solidFill>
            </c:spPr>
            <c:txPr>
              <a:bodyPr/>
              <a:lstStyle/>
              <a:p>
                <a:pPr>
                  <a:defRPr sz="1400" b="1">
                    <a:solidFill>
                      <a:schemeClr val="bg1"/>
                    </a:solidFill>
                  </a:defRPr>
                </a:pPr>
                <a:endParaRPr lang="de-DE"/>
              </a:p>
            </c:txPr>
            <c:showLegendKey val="0"/>
            <c:showVal val="1"/>
            <c:showCatName val="0"/>
            <c:showSerName val="0"/>
            <c:showPercent val="0"/>
            <c:showBubbleSize val="0"/>
            <c:showLeaderLines val="0"/>
          </c:dLbls>
          <c:cat>
            <c:numRef>
              <c:f>Results!$F$121:$I$121</c:f>
              <c:numCache>
                <c:formatCode>0</c:formatCode>
                <c:ptCount val="4"/>
                <c:pt idx="0">
                  <c:v>2015</c:v>
                </c:pt>
                <c:pt idx="1">
                  <c:v>2020</c:v>
                </c:pt>
                <c:pt idx="2">
                  <c:v>2025</c:v>
                </c:pt>
                <c:pt idx="3">
                  <c:v>2030</c:v>
                </c:pt>
              </c:numCache>
            </c:numRef>
          </c:cat>
          <c:val>
            <c:numRef>
              <c:f>Results!$F$132:$I$132</c:f>
              <c:numCache>
                <c:formatCode>0.00</c:formatCode>
                <c:ptCount val="4"/>
                <c:pt idx="0">
                  <c:v>3.8433607977020303</c:v>
                </c:pt>
                <c:pt idx="1">
                  <c:v>3.6479686924934027</c:v>
                </c:pt>
                <c:pt idx="2">
                  <c:v>3.4964520292997467</c:v>
                </c:pt>
                <c:pt idx="3">
                  <c:v>3.4655039596853401</c:v>
                </c:pt>
              </c:numCache>
            </c:numRef>
          </c:val>
        </c:ser>
        <c:ser>
          <c:idx val="1"/>
          <c:order val="1"/>
          <c:tx>
            <c:v>Diesel</c:v>
          </c:tx>
          <c:invertIfNegative val="0"/>
          <c:dLbls>
            <c:spPr>
              <a:solidFill>
                <a:schemeClr val="accent2"/>
              </a:solidFill>
            </c:spPr>
            <c:txPr>
              <a:bodyPr/>
              <a:lstStyle/>
              <a:p>
                <a:pPr>
                  <a:defRPr sz="1400" b="1">
                    <a:solidFill>
                      <a:schemeClr val="bg1"/>
                    </a:solidFill>
                  </a:defRPr>
                </a:pPr>
                <a:endParaRPr lang="de-DE"/>
              </a:p>
            </c:txPr>
            <c:showLegendKey val="0"/>
            <c:showVal val="1"/>
            <c:showCatName val="0"/>
            <c:showSerName val="0"/>
            <c:showPercent val="0"/>
            <c:showBubbleSize val="0"/>
            <c:showLeaderLines val="0"/>
          </c:dLbls>
          <c:cat>
            <c:numRef>
              <c:f>Results!$F$121:$I$121</c:f>
              <c:numCache>
                <c:formatCode>0</c:formatCode>
                <c:ptCount val="4"/>
                <c:pt idx="0">
                  <c:v>2015</c:v>
                </c:pt>
                <c:pt idx="1">
                  <c:v>2020</c:v>
                </c:pt>
                <c:pt idx="2">
                  <c:v>2025</c:v>
                </c:pt>
                <c:pt idx="3">
                  <c:v>2030</c:v>
                </c:pt>
              </c:numCache>
            </c:numRef>
          </c:cat>
          <c:val>
            <c:numRef>
              <c:f>Results!$N$132:$Q$132</c:f>
              <c:numCache>
                <c:formatCode>0.00</c:formatCode>
                <c:ptCount val="4"/>
                <c:pt idx="0">
                  <c:v>2.3401759701095806</c:v>
                </c:pt>
                <c:pt idx="1">
                  <c:v>2.5375496254315619</c:v>
                </c:pt>
                <c:pt idx="2">
                  <c:v>2.7547694105247973</c:v>
                </c:pt>
                <c:pt idx="3">
                  <c:v>2.993934912281583</c:v>
                </c:pt>
              </c:numCache>
            </c:numRef>
          </c:val>
        </c:ser>
        <c:dLbls>
          <c:showLegendKey val="0"/>
          <c:showVal val="0"/>
          <c:showCatName val="0"/>
          <c:showSerName val="0"/>
          <c:showPercent val="0"/>
          <c:showBubbleSize val="0"/>
        </c:dLbls>
        <c:gapWidth val="150"/>
        <c:shape val="box"/>
        <c:axId val="125307392"/>
        <c:axId val="111294656"/>
        <c:axId val="0"/>
      </c:bar3DChart>
      <c:catAx>
        <c:axId val="125307392"/>
        <c:scaling>
          <c:orientation val="minMax"/>
        </c:scaling>
        <c:delete val="0"/>
        <c:axPos val="b"/>
        <c:numFmt formatCode="0" sourceLinked="1"/>
        <c:majorTickMark val="none"/>
        <c:minorTickMark val="none"/>
        <c:tickLblPos val="nextTo"/>
        <c:txPr>
          <a:bodyPr/>
          <a:lstStyle/>
          <a:p>
            <a:pPr>
              <a:defRPr sz="1400"/>
            </a:pPr>
            <a:endParaRPr lang="de-DE"/>
          </a:p>
        </c:txPr>
        <c:crossAx val="111294656"/>
        <c:crosses val="autoZero"/>
        <c:auto val="1"/>
        <c:lblAlgn val="ctr"/>
        <c:lblOffset val="100"/>
        <c:noMultiLvlLbl val="0"/>
      </c:catAx>
      <c:valAx>
        <c:axId val="111294656"/>
        <c:scaling>
          <c:orientation val="minMax"/>
        </c:scaling>
        <c:delete val="0"/>
        <c:axPos val="l"/>
        <c:numFmt formatCode="0.0" sourceLinked="0"/>
        <c:majorTickMark val="out"/>
        <c:minorTickMark val="none"/>
        <c:tickLblPos val="nextTo"/>
        <c:txPr>
          <a:bodyPr/>
          <a:lstStyle/>
          <a:p>
            <a:pPr>
              <a:defRPr sz="1100"/>
            </a:pPr>
            <a:endParaRPr lang="de-DE"/>
          </a:p>
        </c:txPr>
        <c:crossAx val="125307392"/>
        <c:crosses val="autoZero"/>
        <c:crossBetween val="between"/>
      </c:valAx>
    </c:plotArea>
    <c:legend>
      <c:legendPos val="r"/>
      <c:layout>
        <c:manualLayout>
          <c:xMode val="edge"/>
          <c:yMode val="edge"/>
          <c:x val="0.88313931222143505"/>
          <c:y val="0.48140004037144152"/>
          <c:w val="9.137630776899229E-2"/>
          <c:h val="0.13005971669359748"/>
        </c:manualLayout>
      </c:layout>
      <c:overlay val="0"/>
      <c:txPr>
        <a:bodyPr/>
        <a:lstStyle/>
        <a:p>
          <a:pPr>
            <a:defRPr sz="1400" b="1"/>
          </a:pPr>
          <a:endParaRPr lang="de-DE"/>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v>Fuel cell</c:v>
          </c:tx>
          <c:invertIfNegative val="0"/>
          <c:dLbls>
            <c:spPr>
              <a:solidFill>
                <a:schemeClr val="accent1"/>
              </a:solidFill>
            </c:spPr>
            <c:txPr>
              <a:bodyPr/>
              <a:lstStyle/>
              <a:p>
                <a:pPr>
                  <a:defRPr sz="1400" b="1">
                    <a:solidFill>
                      <a:schemeClr val="bg1"/>
                    </a:solidFill>
                  </a:defRPr>
                </a:pPr>
                <a:endParaRPr lang="de-DE"/>
              </a:p>
            </c:txPr>
            <c:showLegendKey val="0"/>
            <c:showVal val="1"/>
            <c:showCatName val="0"/>
            <c:showSerName val="0"/>
            <c:showPercent val="0"/>
            <c:showBubbleSize val="0"/>
            <c:showLeaderLines val="0"/>
          </c:dLbls>
          <c:cat>
            <c:numRef>
              <c:f>Results!$J$121:$M$121</c:f>
              <c:numCache>
                <c:formatCode>0</c:formatCode>
                <c:ptCount val="4"/>
                <c:pt idx="0">
                  <c:v>2015</c:v>
                </c:pt>
                <c:pt idx="1">
                  <c:v>2020</c:v>
                </c:pt>
                <c:pt idx="2">
                  <c:v>2025</c:v>
                </c:pt>
                <c:pt idx="3">
                  <c:v>2030</c:v>
                </c:pt>
              </c:numCache>
            </c:numRef>
          </c:cat>
          <c:val>
            <c:numRef>
              <c:f>Results!$J$132:$M$132</c:f>
              <c:numCache>
                <c:formatCode>0.00</c:formatCode>
                <c:ptCount val="4"/>
                <c:pt idx="0">
                  <c:v>4.6980055656239426</c:v>
                </c:pt>
                <c:pt idx="1">
                  <c:v>4.3520322780435556</c:v>
                </c:pt>
                <c:pt idx="2">
                  <c:v>4.1721292996920711</c:v>
                </c:pt>
                <c:pt idx="3">
                  <c:v>4.1504819249293483</c:v>
                </c:pt>
              </c:numCache>
            </c:numRef>
          </c:val>
        </c:ser>
        <c:ser>
          <c:idx val="1"/>
          <c:order val="1"/>
          <c:tx>
            <c:v>Diesel</c:v>
          </c:tx>
          <c:invertIfNegative val="0"/>
          <c:dLbls>
            <c:spPr>
              <a:solidFill>
                <a:schemeClr val="accent2"/>
              </a:solidFill>
            </c:spPr>
            <c:txPr>
              <a:bodyPr/>
              <a:lstStyle/>
              <a:p>
                <a:pPr>
                  <a:defRPr sz="1400" b="1">
                    <a:solidFill>
                      <a:schemeClr val="bg1"/>
                    </a:solidFill>
                  </a:defRPr>
                </a:pPr>
                <a:endParaRPr lang="de-DE"/>
              </a:p>
            </c:txPr>
            <c:showLegendKey val="0"/>
            <c:showVal val="1"/>
            <c:showCatName val="0"/>
            <c:showSerName val="0"/>
            <c:showPercent val="0"/>
            <c:showBubbleSize val="0"/>
            <c:showLeaderLines val="0"/>
          </c:dLbls>
          <c:cat>
            <c:numRef>
              <c:f>Results!$J$121:$M$121</c:f>
              <c:numCache>
                <c:formatCode>0</c:formatCode>
                <c:ptCount val="4"/>
                <c:pt idx="0">
                  <c:v>2015</c:v>
                </c:pt>
                <c:pt idx="1">
                  <c:v>2020</c:v>
                </c:pt>
                <c:pt idx="2">
                  <c:v>2025</c:v>
                </c:pt>
                <c:pt idx="3">
                  <c:v>2030</c:v>
                </c:pt>
              </c:numCache>
            </c:numRef>
          </c:cat>
          <c:val>
            <c:numRef>
              <c:f>Results!$R$132:$U$132</c:f>
              <c:numCache>
                <c:formatCode>0.00</c:formatCode>
                <c:ptCount val="4"/>
                <c:pt idx="0">
                  <c:v>2.76304919456889</c:v>
                </c:pt>
                <c:pt idx="1">
                  <c:v>3.0003031209959294</c:v>
                </c:pt>
                <c:pt idx="2">
                  <c:v>3.2603930349988057</c:v>
                </c:pt>
                <c:pt idx="3">
                  <c:v>3.5456692598342565</c:v>
                </c:pt>
              </c:numCache>
            </c:numRef>
          </c:val>
        </c:ser>
        <c:dLbls>
          <c:showLegendKey val="0"/>
          <c:showVal val="0"/>
          <c:showCatName val="0"/>
          <c:showSerName val="0"/>
          <c:showPercent val="0"/>
          <c:showBubbleSize val="0"/>
        </c:dLbls>
        <c:gapWidth val="150"/>
        <c:shape val="box"/>
        <c:axId val="125308416"/>
        <c:axId val="570687488"/>
        <c:axId val="0"/>
      </c:bar3DChart>
      <c:catAx>
        <c:axId val="125308416"/>
        <c:scaling>
          <c:orientation val="minMax"/>
        </c:scaling>
        <c:delete val="0"/>
        <c:axPos val="b"/>
        <c:numFmt formatCode="0" sourceLinked="1"/>
        <c:majorTickMark val="none"/>
        <c:minorTickMark val="none"/>
        <c:tickLblPos val="nextTo"/>
        <c:txPr>
          <a:bodyPr/>
          <a:lstStyle/>
          <a:p>
            <a:pPr>
              <a:defRPr sz="1400"/>
            </a:pPr>
            <a:endParaRPr lang="de-DE"/>
          </a:p>
        </c:txPr>
        <c:crossAx val="570687488"/>
        <c:crosses val="autoZero"/>
        <c:auto val="1"/>
        <c:lblAlgn val="ctr"/>
        <c:lblOffset val="100"/>
        <c:noMultiLvlLbl val="0"/>
      </c:catAx>
      <c:valAx>
        <c:axId val="570687488"/>
        <c:scaling>
          <c:orientation val="minMax"/>
        </c:scaling>
        <c:delete val="0"/>
        <c:axPos val="l"/>
        <c:numFmt formatCode="0.0" sourceLinked="0"/>
        <c:majorTickMark val="out"/>
        <c:minorTickMark val="none"/>
        <c:tickLblPos val="nextTo"/>
        <c:txPr>
          <a:bodyPr/>
          <a:lstStyle/>
          <a:p>
            <a:pPr>
              <a:defRPr sz="1100"/>
            </a:pPr>
            <a:endParaRPr lang="de-DE"/>
          </a:p>
        </c:txPr>
        <c:crossAx val="125308416"/>
        <c:crosses val="autoZero"/>
        <c:crossBetween val="between"/>
      </c:valAx>
    </c:plotArea>
    <c:legend>
      <c:legendPos val="r"/>
      <c:layout>
        <c:manualLayout>
          <c:xMode val="edge"/>
          <c:yMode val="edge"/>
          <c:x val="0.88384084148641107"/>
          <c:y val="0.483668627674952"/>
          <c:w val="8.8977689347294234E-2"/>
          <c:h val="0.14874654618477196"/>
        </c:manualLayout>
      </c:layout>
      <c:overlay val="0"/>
      <c:txPr>
        <a:bodyPr/>
        <a:lstStyle/>
        <a:p>
          <a:pPr>
            <a:defRPr sz="1400" b="1"/>
          </a:pPr>
          <a:endParaRPr lang="de-DE"/>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3249435416373639E-2"/>
          <c:y val="2.2926064326704926E-2"/>
          <c:w val="0.97675056458362641"/>
          <c:h val="0.89625050046710253"/>
        </c:manualLayout>
      </c:layout>
      <c:bar3DChart>
        <c:barDir val="col"/>
        <c:grouping val="stacked"/>
        <c:varyColors val="0"/>
        <c:ser>
          <c:idx val="0"/>
          <c:order val="0"/>
          <c:tx>
            <c:v>TCO</c:v>
          </c:tx>
          <c:invertIfNegative val="0"/>
          <c:dLbls>
            <c:spPr>
              <a:solidFill>
                <a:schemeClr val="accent1"/>
              </a:solidFill>
            </c:spPr>
            <c:txPr>
              <a:bodyPr/>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analysis'!$F$46:$U$46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gapWidth val="140"/>
        <c:gapDepth val="100"/>
        <c:shape val="box"/>
        <c:axId val="572018688"/>
        <c:axId val="570692096"/>
        <c:axId val="0"/>
      </c:bar3DChart>
      <c:catAx>
        <c:axId val="572018688"/>
        <c:scaling>
          <c:orientation val="minMax"/>
        </c:scaling>
        <c:delete val="0"/>
        <c:axPos val="b"/>
        <c:numFmt formatCode="0" sourceLinked="1"/>
        <c:majorTickMark val="out"/>
        <c:minorTickMark val="none"/>
        <c:tickLblPos val="nextTo"/>
        <c:txPr>
          <a:bodyPr/>
          <a:lstStyle/>
          <a:p>
            <a:pPr>
              <a:defRPr sz="1200"/>
            </a:pPr>
            <a:endParaRPr lang="de-DE"/>
          </a:p>
        </c:txPr>
        <c:crossAx val="570692096"/>
        <c:crosses val="autoZero"/>
        <c:auto val="1"/>
        <c:lblAlgn val="ctr"/>
        <c:lblOffset val="100"/>
        <c:noMultiLvlLbl val="0"/>
      </c:catAx>
      <c:valAx>
        <c:axId val="570692096"/>
        <c:scaling>
          <c:orientation val="minMax"/>
          <c:min val="2.5"/>
        </c:scaling>
        <c:delete val="0"/>
        <c:axPos val="l"/>
        <c:numFmt formatCode="0.0" sourceLinked="0"/>
        <c:majorTickMark val="out"/>
        <c:minorTickMark val="none"/>
        <c:tickLblPos val="nextTo"/>
        <c:txPr>
          <a:bodyPr/>
          <a:lstStyle/>
          <a:p>
            <a:pPr>
              <a:defRPr sz="1100"/>
            </a:pPr>
            <a:endParaRPr lang="de-DE"/>
          </a:p>
        </c:txPr>
        <c:crossAx val="57201868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8180729165122521E-2"/>
          <c:y val="1.8342804674004991E-2"/>
          <c:w val="0.96091988333832401"/>
          <c:h val="0.90434322323262761"/>
        </c:manualLayout>
      </c:layout>
      <c:bar3DChart>
        <c:barDir val="col"/>
        <c:grouping val="stacked"/>
        <c:varyColors val="0"/>
        <c:ser>
          <c:idx val="0"/>
          <c:order val="0"/>
          <c:invertIfNegative val="0"/>
          <c:dLbls>
            <c:spPr>
              <a:solidFill>
                <a:schemeClr val="accent1"/>
              </a:solidFill>
            </c:spPr>
            <c:txPr>
              <a:bodyPr/>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analysis'!$F$62:$U$62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gapWidth val="140"/>
        <c:gapDepth val="100"/>
        <c:shape val="box"/>
        <c:axId val="108874240"/>
        <c:axId val="570693824"/>
        <c:axId val="0"/>
      </c:bar3DChart>
      <c:catAx>
        <c:axId val="108874240"/>
        <c:scaling>
          <c:orientation val="minMax"/>
        </c:scaling>
        <c:delete val="0"/>
        <c:axPos val="b"/>
        <c:numFmt formatCode="0" sourceLinked="1"/>
        <c:majorTickMark val="out"/>
        <c:minorTickMark val="none"/>
        <c:tickLblPos val="nextTo"/>
        <c:txPr>
          <a:bodyPr/>
          <a:lstStyle/>
          <a:p>
            <a:pPr>
              <a:defRPr sz="1200"/>
            </a:pPr>
            <a:endParaRPr lang="de-DE"/>
          </a:p>
        </c:txPr>
        <c:crossAx val="570693824"/>
        <c:crosses val="autoZero"/>
        <c:auto val="1"/>
        <c:lblAlgn val="ctr"/>
        <c:lblOffset val="100"/>
        <c:noMultiLvlLbl val="0"/>
      </c:catAx>
      <c:valAx>
        <c:axId val="570693824"/>
        <c:scaling>
          <c:orientation val="minMax"/>
          <c:min val="3"/>
        </c:scaling>
        <c:delete val="0"/>
        <c:axPos val="l"/>
        <c:numFmt formatCode="0.0" sourceLinked="0"/>
        <c:majorTickMark val="out"/>
        <c:minorTickMark val="none"/>
        <c:tickLblPos val="nextTo"/>
        <c:txPr>
          <a:bodyPr/>
          <a:lstStyle/>
          <a:p>
            <a:pPr>
              <a:defRPr sz="1100"/>
            </a:pPr>
            <a:endParaRPr lang="de-DE"/>
          </a:p>
        </c:txPr>
        <c:crossAx val="108874240"/>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8180729165122521E-2"/>
          <c:y val="2.4112482785077726E-2"/>
          <c:w val="0.87641862270000681"/>
          <c:h val="0.89105376023580651"/>
        </c:manualLayout>
      </c:layout>
      <c:bar3DChart>
        <c:barDir val="col"/>
        <c:grouping val="clustered"/>
        <c:varyColors val="0"/>
        <c:ser>
          <c:idx val="0"/>
          <c:order val="0"/>
          <c:tx>
            <c:v>Fuel cell</c:v>
          </c:tx>
          <c:invertIfNegative val="0"/>
          <c:dLbls>
            <c:spPr>
              <a:solidFill>
                <a:schemeClr val="accent1"/>
              </a:solidFill>
            </c:spPr>
            <c:txPr>
              <a:bodyPr rot="0" vert="horz" anchor="ctr" anchorCtr="0"/>
              <a:lstStyle/>
              <a:p>
                <a:pPr algn="ctr">
                  <a:defRPr lang="ro-RO" sz="11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dLbls>
          <c:cat>
            <c:numRef>
              <c:f>Results!$F$121:$I$121</c:f>
              <c:numCache>
                <c:formatCode>0</c:formatCode>
                <c:ptCount val="4"/>
                <c:pt idx="0">
                  <c:v>2015</c:v>
                </c:pt>
                <c:pt idx="1">
                  <c:v>2020</c:v>
                </c:pt>
                <c:pt idx="2">
                  <c:v>2025</c:v>
                </c:pt>
                <c:pt idx="3">
                  <c:v>2030</c:v>
                </c:pt>
              </c:numCache>
            </c:numRef>
          </c:cat>
          <c:val>
            <c:numRef>
              <c:f>Results!$F$132:$I$132</c:f>
              <c:numCache>
                <c:formatCode>0.00</c:formatCode>
                <c:ptCount val="4"/>
                <c:pt idx="0">
                  <c:v>3.8433607977020303</c:v>
                </c:pt>
                <c:pt idx="1">
                  <c:v>3.6479686924934027</c:v>
                </c:pt>
                <c:pt idx="2">
                  <c:v>3.4964520292997467</c:v>
                </c:pt>
                <c:pt idx="3">
                  <c:v>3.4655039596853401</c:v>
                </c:pt>
              </c:numCache>
            </c:numRef>
          </c:val>
        </c:ser>
        <c:ser>
          <c:idx val="1"/>
          <c:order val="1"/>
          <c:tx>
            <c:v>Diesel</c:v>
          </c:tx>
          <c:invertIfNegative val="0"/>
          <c:dLbls>
            <c:numFmt formatCode="0.00" sourceLinked="0"/>
            <c:spPr>
              <a:solidFill>
                <a:schemeClr val="accent2"/>
              </a:solidFill>
            </c:spPr>
            <c:txPr>
              <a:bodyPr rot="0" vert="horz" anchor="ctr" anchorCtr="1"/>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Results!$F$121:$I$121</c:f>
              <c:numCache>
                <c:formatCode>0</c:formatCode>
                <c:ptCount val="4"/>
                <c:pt idx="0">
                  <c:v>2015</c:v>
                </c:pt>
                <c:pt idx="1">
                  <c:v>2020</c:v>
                </c:pt>
                <c:pt idx="2">
                  <c:v>2025</c:v>
                </c:pt>
                <c:pt idx="3">
                  <c:v>2030</c:v>
                </c:pt>
              </c:numCache>
            </c:numRef>
          </c:cat>
          <c:val>
            <c:numRef>
              <c:f>Results!$N$132:$Q$132</c:f>
              <c:numCache>
                <c:formatCode>0.00</c:formatCode>
                <c:ptCount val="4"/>
                <c:pt idx="0">
                  <c:v>2.3401759701095806</c:v>
                </c:pt>
                <c:pt idx="1">
                  <c:v>2.5375496254315619</c:v>
                </c:pt>
                <c:pt idx="2">
                  <c:v>2.7547694105247973</c:v>
                </c:pt>
                <c:pt idx="3">
                  <c:v>2.993934912281583</c:v>
                </c:pt>
              </c:numCache>
            </c:numRef>
          </c:val>
        </c:ser>
        <c:dLbls>
          <c:showLegendKey val="0"/>
          <c:showVal val="1"/>
          <c:showCatName val="0"/>
          <c:showSerName val="0"/>
          <c:showPercent val="0"/>
          <c:showBubbleSize val="0"/>
        </c:dLbls>
        <c:gapWidth val="140"/>
        <c:gapDepth val="100"/>
        <c:shape val="box"/>
        <c:axId val="572019712"/>
        <c:axId val="570694400"/>
        <c:axId val="0"/>
      </c:bar3DChart>
      <c:catAx>
        <c:axId val="572019712"/>
        <c:scaling>
          <c:orientation val="minMax"/>
        </c:scaling>
        <c:delete val="0"/>
        <c:axPos val="b"/>
        <c:numFmt formatCode="0" sourceLinked="1"/>
        <c:majorTickMark val="out"/>
        <c:minorTickMark val="none"/>
        <c:tickLblPos val="nextTo"/>
        <c:txPr>
          <a:bodyPr/>
          <a:lstStyle/>
          <a:p>
            <a:pPr>
              <a:defRPr sz="1200"/>
            </a:pPr>
            <a:endParaRPr lang="de-DE"/>
          </a:p>
        </c:txPr>
        <c:crossAx val="570694400"/>
        <c:crosses val="autoZero"/>
        <c:auto val="1"/>
        <c:lblAlgn val="ctr"/>
        <c:lblOffset val="100"/>
        <c:noMultiLvlLbl val="0"/>
      </c:catAx>
      <c:valAx>
        <c:axId val="570694400"/>
        <c:scaling>
          <c:orientation val="minMax"/>
        </c:scaling>
        <c:delete val="0"/>
        <c:axPos val="l"/>
        <c:numFmt formatCode="0.0" sourceLinked="0"/>
        <c:majorTickMark val="out"/>
        <c:minorTickMark val="none"/>
        <c:tickLblPos val="nextTo"/>
        <c:txPr>
          <a:bodyPr/>
          <a:lstStyle/>
          <a:p>
            <a:pPr>
              <a:defRPr sz="1100"/>
            </a:pPr>
            <a:endParaRPr lang="de-DE"/>
          </a:p>
        </c:txPr>
        <c:crossAx val="572019712"/>
        <c:crosses val="autoZero"/>
        <c:crossBetween val="between"/>
      </c:valAx>
    </c:plotArea>
    <c:legend>
      <c:legendPos val="r"/>
      <c:overlay val="0"/>
      <c:txPr>
        <a:bodyPr/>
        <a:lstStyle/>
        <a:p>
          <a:pPr>
            <a:defRPr sz="1400" b="1"/>
          </a:pPr>
          <a:endParaRPr lang="de-DE"/>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2.8180729165122521E-2"/>
          <c:y val="2.1299142549733214E-2"/>
          <c:w val="0.87514813665943048"/>
          <c:h val="0.90265097288587004"/>
        </c:manualLayout>
      </c:layout>
      <c:bar3DChart>
        <c:barDir val="col"/>
        <c:grouping val="clustered"/>
        <c:varyColors val="0"/>
        <c:ser>
          <c:idx val="0"/>
          <c:order val="0"/>
          <c:tx>
            <c:v>Fuel cell</c:v>
          </c:tx>
          <c:invertIfNegative val="0"/>
          <c:dLbls>
            <c:spPr>
              <a:solidFill>
                <a:schemeClr val="accent1"/>
              </a:solidFill>
            </c:spPr>
            <c:txPr>
              <a:bodyPr rot="0" vert="horz" anchor="ctr" anchorCtr="0"/>
              <a:lstStyle/>
              <a:p>
                <a:pPr algn="ctr">
                  <a:defRPr lang="ro-RO" sz="11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dLbls>
          <c:cat>
            <c:numRef>
              <c:f>Results!$J$121:$M$121</c:f>
              <c:numCache>
                <c:formatCode>0</c:formatCode>
                <c:ptCount val="4"/>
                <c:pt idx="0">
                  <c:v>2015</c:v>
                </c:pt>
                <c:pt idx="1">
                  <c:v>2020</c:v>
                </c:pt>
                <c:pt idx="2">
                  <c:v>2025</c:v>
                </c:pt>
                <c:pt idx="3">
                  <c:v>2030</c:v>
                </c:pt>
              </c:numCache>
            </c:numRef>
          </c:cat>
          <c:val>
            <c:numRef>
              <c:f>Results!$J$132:$M$132</c:f>
              <c:numCache>
                <c:formatCode>0.00</c:formatCode>
                <c:ptCount val="4"/>
                <c:pt idx="0">
                  <c:v>4.6980055656239426</c:v>
                </c:pt>
                <c:pt idx="1">
                  <c:v>4.3520322780435556</c:v>
                </c:pt>
                <c:pt idx="2">
                  <c:v>4.1721292996920711</c:v>
                </c:pt>
                <c:pt idx="3">
                  <c:v>4.1504819249293483</c:v>
                </c:pt>
              </c:numCache>
            </c:numRef>
          </c:val>
        </c:ser>
        <c:ser>
          <c:idx val="1"/>
          <c:order val="1"/>
          <c:tx>
            <c:v>Diesel</c:v>
          </c:tx>
          <c:invertIfNegative val="0"/>
          <c:dLbls>
            <c:numFmt formatCode="0.00" sourceLinked="0"/>
            <c:spPr>
              <a:solidFill>
                <a:schemeClr val="accent2"/>
              </a:solidFill>
            </c:spPr>
            <c:txPr>
              <a:bodyPr rot="0" vert="horz" anchor="ctr" anchorCtr="1"/>
              <a:lstStyle/>
              <a:p>
                <a:pPr>
                  <a:defRPr sz="1100" b="1">
                    <a:solidFill>
                      <a:schemeClr val="bg1"/>
                    </a:solidFill>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dLbls>
          <c:cat>
            <c:numRef>
              <c:f>Results!$J$121:$M$121</c:f>
              <c:numCache>
                <c:formatCode>0</c:formatCode>
                <c:ptCount val="4"/>
                <c:pt idx="0">
                  <c:v>2015</c:v>
                </c:pt>
                <c:pt idx="1">
                  <c:v>2020</c:v>
                </c:pt>
                <c:pt idx="2">
                  <c:v>2025</c:v>
                </c:pt>
                <c:pt idx="3">
                  <c:v>2030</c:v>
                </c:pt>
              </c:numCache>
            </c:numRef>
          </c:cat>
          <c:val>
            <c:numRef>
              <c:f>Results!$R$132:$U$132</c:f>
              <c:numCache>
                <c:formatCode>0.00</c:formatCode>
                <c:ptCount val="4"/>
                <c:pt idx="0">
                  <c:v>2.76304919456889</c:v>
                </c:pt>
                <c:pt idx="1">
                  <c:v>3.0003031209959294</c:v>
                </c:pt>
                <c:pt idx="2">
                  <c:v>3.2603930349988057</c:v>
                </c:pt>
                <c:pt idx="3">
                  <c:v>3.5456692598342565</c:v>
                </c:pt>
              </c:numCache>
            </c:numRef>
          </c:val>
        </c:ser>
        <c:dLbls>
          <c:showLegendKey val="0"/>
          <c:showVal val="1"/>
          <c:showCatName val="0"/>
          <c:showSerName val="0"/>
          <c:showPercent val="0"/>
          <c:showBubbleSize val="0"/>
        </c:dLbls>
        <c:gapWidth val="140"/>
        <c:gapDepth val="100"/>
        <c:shape val="box"/>
        <c:axId val="572020224"/>
        <c:axId val="570361536"/>
        <c:axId val="0"/>
      </c:bar3DChart>
      <c:catAx>
        <c:axId val="572020224"/>
        <c:scaling>
          <c:orientation val="minMax"/>
        </c:scaling>
        <c:delete val="0"/>
        <c:axPos val="b"/>
        <c:numFmt formatCode="0" sourceLinked="1"/>
        <c:majorTickMark val="out"/>
        <c:minorTickMark val="none"/>
        <c:tickLblPos val="nextTo"/>
        <c:txPr>
          <a:bodyPr/>
          <a:lstStyle/>
          <a:p>
            <a:pPr>
              <a:defRPr sz="1100"/>
            </a:pPr>
            <a:endParaRPr lang="de-DE"/>
          </a:p>
        </c:txPr>
        <c:crossAx val="570361536"/>
        <c:crosses val="autoZero"/>
        <c:auto val="1"/>
        <c:lblAlgn val="ctr"/>
        <c:lblOffset val="100"/>
        <c:noMultiLvlLbl val="0"/>
      </c:catAx>
      <c:valAx>
        <c:axId val="570361536"/>
        <c:scaling>
          <c:orientation val="minMax"/>
        </c:scaling>
        <c:delete val="0"/>
        <c:axPos val="l"/>
        <c:numFmt formatCode="0.0" sourceLinked="0"/>
        <c:majorTickMark val="out"/>
        <c:minorTickMark val="none"/>
        <c:tickLblPos val="nextTo"/>
        <c:txPr>
          <a:bodyPr/>
          <a:lstStyle/>
          <a:p>
            <a:pPr>
              <a:defRPr sz="1100"/>
            </a:pPr>
            <a:endParaRPr lang="de-DE"/>
          </a:p>
        </c:txPr>
        <c:crossAx val="572020224"/>
        <c:crosses val="autoZero"/>
        <c:crossBetween val="between"/>
      </c:valAx>
    </c:plotArea>
    <c:legend>
      <c:legendPos val="r"/>
      <c:overlay val="0"/>
      <c:txPr>
        <a:bodyPr/>
        <a:lstStyle/>
        <a:p>
          <a:pPr>
            <a:defRPr sz="1400" b="1"/>
          </a:pPr>
          <a:endParaRPr lang="de-DE"/>
        </a:p>
      </c:txPr>
    </c:legend>
    <c:plotVisOnly val="1"/>
    <c:dispBlanksAs val="gap"/>
    <c:showDLblsOverMax val="0"/>
  </c:chart>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FC 12 - 13.5 m bus price [EUR]</a:t>
            </a:r>
          </a:p>
        </c:rich>
      </c:tx>
      <c:layout>
        <c:manualLayout>
          <c:xMode val="edge"/>
          <c:yMode val="edge"/>
          <c:x val="0.28869695254690786"/>
          <c:y val="4.0905778478031264E-2"/>
        </c:manualLayout>
      </c:layout>
      <c:overlay val="0"/>
    </c:title>
    <c:autoTitleDeleted val="0"/>
    <c:plotArea>
      <c:layout/>
      <c:lineChart>
        <c:grouping val="stacked"/>
        <c:varyColors val="0"/>
        <c:ser>
          <c:idx val="0"/>
          <c:order val="0"/>
          <c:tx>
            <c:v>FC bus price</c:v>
          </c:tx>
          <c:dLbls>
            <c:dLbl>
              <c:idx val="0"/>
              <c:layout>
                <c:manualLayout>
                  <c:x val="-3.7149220959039941E-2"/>
                  <c:y val="-3.8359993574632427E-2"/>
                </c:manualLayout>
              </c:layout>
              <c:showLegendKey val="0"/>
              <c:showVal val="1"/>
              <c:showCatName val="0"/>
              <c:showSerName val="0"/>
              <c:showPercent val="0"/>
              <c:showBubbleSize val="0"/>
            </c:dLbl>
            <c:dLbl>
              <c:idx val="5"/>
              <c:layout>
                <c:manualLayout>
                  <c:x val="-3.7149074702840311E-2"/>
                  <c:y val="-5.2309082147225974E-2"/>
                </c:manualLayout>
              </c:layout>
              <c:showLegendKey val="0"/>
              <c:showVal val="1"/>
              <c:showCatName val="0"/>
              <c:showSerName val="0"/>
              <c:showPercent val="0"/>
              <c:showBubbleSize val="0"/>
            </c:dLbl>
            <c:dLbl>
              <c:idx val="10"/>
              <c:layout>
                <c:manualLayout>
                  <c:x val="-5.0151250848834553E-2"/>
                  <c:y val="-5.2309082147226037E-2"/>
                </c:manualLayout>
              </c:layout>
              <c:numFmt formatCode="#,##0" sourceLinked="0"/>
              <c:spPr/>
              <c:txPr>
                <a:bodyPr/>
                <a:lstStyle/>
                <a:p>
                  <a:pPr algn="ctr" rtl="0">
                    <a:defRPr lang="en-US"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dLbl>
            <c:dLbl>
              <c:idx val="15"/>
              <c:layout>
                <c:manualLayout>
                  <c:x val="-9.2872686757100777E-3"/>
                  <c:y val="-4.5334812449286964E-2"/>
                </c:manualLayout>
              </c:layout>
              <c:showLegendKey val="0"/>
              <c:showVal val="1"/>
              <c:showCatName val="0"/>
              <c:showSerName val="0"/>
              <c:showPercent val="0"/>
              <c:showBubbleSize val="0"/>
            </c:dLbl>
            <c:numFmt formatCode="#,##0" sourceLinked="0"/>
            <c:txPr>
              <a:bodyPr/>
              <a:lstStyle/>
              <a:p>
                <a:pPr>
                  <a:defRPr sz="1100" b="1"/>
                </a:pPr>
                <a:endParaRPr lang="de-DE"/>
              </a:p>
            </c:txPr>
            <c:showLegendKey val="0"/>
            <c:showVal val="0"/>
            <c:showCatName val="0"/>
            <c:showSerName val="0"/>
            <c:showPercent val="0"/>
            <c:showBubbleSize val="0"/>
          </c:dLbls>
          <c:cat>
            <c:numRef>
              <c:f>'Cost analysis'!$F$45:$U$45</c:f>
              <c:numCache>
                <c:formatCode>0</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'Cost analysis'!$F$97:$U$97</c:f>
              <c:numCache>
                <c:formatCode>_-* #,##0\ _l_e_i_-;\-* #,##0\ _l_e_i_-;_-* "-"??\ _l_e_i_-;_-@_-</c:formatCode>
                <c:ptCount val="16"/>
                <c:pt idx="0">
                  <c:v>712672</c:v>
                </c:pt>
                <c:pt idx="1">
                  <c:v>687951.82916120451</c:v>
                </c:pt>
                <c:pt idx="2">
                  <c:v>663231.65832240833</c:v>
                </c:pt>
                <c:pt idx="3">
                  <c:v>638511.48748361273</c:v>
                </c:pt>
                <c:pt idx="4">
                  <c:v>613791.31664481654</c:v>
                </c:pt>
                <c:pt idx="5">
                  <c:v>589071.14580602106</c:v>
                </c:pt>
                <c:pt idx="6">
                  <c:v>570522.82658473717</c:v>
                </c:pt>
                <c:pt idx="7">
                  <c:v>552306.59004053997</c:v>
                </c:pt>
                <c:pt idx="8">
                  <c:v>534422.43617343088</c:v>
                </c:pt>
                <c:pt idx="9">
                  <c:v>516870.36498340848</c:v>
                </c:pt>
                <c:pt idx="10">
                  <c:v>499650.37647047429</c:v>
                </c:pt>
                <c:pt idx="11">
                  <c:v>486456.70424129744</c:v>
                </c:pt>
                <c:pt idx="12">
                  <c:v>473431.77244593727</c:v>
                </c:pt>
                <c:pt idx="13">
                  <c:v>460575.5810843925</c:v>
                </c:pt>
                <c:pt idx="14">
                  <c:v>447888.13015666383</c:v>
                </c:pt>
                <c:pt idx="15">
                  <c:v>435369.41966275114</c:v>
                </c:pt>
              </c:numCache>
            </c:numRef>
          </c:val>
          <c:smooth val="0"/>
        </c:ser>
        <c:dLbls>
          <c:showLegendKey val="0"/>
          <c:showVal val="0"/>
          <c:showCatName val="0"/>
          <c:showSerName val="0"/>
          <c:showPercent val="0"/>
          <c:showBubbleSize val="0"/>
        </c:dLbls>
        <c:marker val="1"/>
        <c:smooth val="0"/>
        <c:axId val="572020736"/>
        <c:axId val="570363264"/>
      </c:lineChart>
      <c:catAx>
        <c:axId val="572020736"/>
        <c:scaling>
          <c:orientation val="minMax"/>
        </c:scaling>
        <c:delete val="0"/>
        <c:axPos val="b"/>
        <c:numFmt formatCode="0" sourceLinked="1"/>
        <c:majorTickMark val="out"/>
        <c:minorTickMark val="none"/>
        <c:tickLblPos val="nextTo"/>
        <c:crossAx val="570363264"/>
        <c:crosses val="autoZero"/>
        <c:auto val="1"/>
        <c:lblAlgn val="ctr"/>
        <c:lblOffset val="100"/>
        <c:noMultiLvlLbl val="0"/>
      </c:catAx>
      <c:valAx>
        <c:axId val="570363264"/>
        <c:scaling>
          <c:orientation val="minMax"/>
          <c:min val="400000"/>
        </c:scaling>
        <c:delete val="0"/>
        <c:axPos val="l"/>
        <c:majorGridlines/>
        <c:numFmt formatCode="#,##0" sourceLinked="0"/>
        <c:majorTickMark val="out"/>
        <c:minorTickMark val="none"/>
        <c:tickLblPos val="nextTo"/>
        <c:crossAx val="572020736"/>
        <c:crosses val="autoZero"/>
        <c:crossBetween val="between"/>
      </c:valAx>
    </c:plotArea>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Other assumptions'!A1"/><Relationship Id="rId3" Type="http://schemas.openxmlformats.org/officeDocument/2006/relationships/hyperlink" Target="#Results!A1"/><Relationship Id="rId7" Type="http://schemas.openxmlformats.org/officeDocument/2006/relationships/hyperlink" Target="#'Environmental analysis'!A1"/><Relationship Id="rId2" Type="http://schemas.openxmlformats.org/officeDocument/2006/relationships/hyperlink" Target="#Input!A1"/><Relationship Id="rId1" Type="http://schemas.openxmlformats.org/officeDocument/2006/relationships/hyperlink" Target="#Introduction!A1"/><Relationship Id="rId6" Type="http://schemas.openxmlformats.org/officeDocument/2006/relationships/hyperlink" Target="#'Infrastructure options'!A1"/><Relationship Id="rId5" Type="http://schemas.openxmlformats.org/officeDocument/2006/relationships/hyperlink" Target="#'Price evolution'!A1"/><Relationship Id="rId4" Type="http://schemas.openxmlformats.org/officeDocument/2006/relationships/hyperlink" Target="#'Cost analysis'!A1"/><Relationship Id="rId9"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4.xml"/><Relationship Id="rId2" Type="http://schemas.openxmlformats.org/officeDocument/2006/relationships/chart" Target="../charts/chart1.xml"/><Relationship Id="rId1" Type="http://schemas.openxmlformats.org/officeDocument/2006/relationships/hyperlink" Target="#Contents!A1"/><Relationship Id="rId6" Type="http://schemas.openxmlformats.org/officeDocument/2006/relationships/chart" Target="../charts/chart3.xml"/><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image" Target="../media/image2.png"/><Relationship Id="rId7" Type="http://schemas.openxmlformats.org/officeDocument/2006/relationships/chart" Target="../charts/chart9.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image" Target="../media/image3.png"/><Relationship Id="rId9"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5</xdr:col>
      <xdr:colOff>555173</xdr:colOff>
      <xdr:row>6</xdr:row>
      <xdr:rowOff>93427</xdr:rowOff>
    </xdr:from>
    <xdr:to>
      <xdr:col>5</xdr:col>
      <xdr:colOff>1227638</xdr:colOff>
      <xdr:row>6</xdr:row>
      <xdr:rowOff>226777</xdr:rowOff>
    </xdr:to>
    <xdr:sp macro="" textlink="">
      <xdr:nvSpPr>
        <xdr:cNvPr id="2" name="Rounded Rectangle 1">
          <a:hlinkClick xmlns:r="http://schemas.openxmlformats.org/officeDocument/2006/relationships" r:id="rId1"/>
        </xdr:cNvPr>
        <xdr:cNvSpPr/>
      </xdr:nvSpPr>
      <xdr:spPr>
        <a:xfrm>
          <a:off x="7641773" y="1769827"/>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7</xdr:row>
      <xdr:rowOff>93427</xdr:rowOff>
    </xdr:from>
    <xdr:to>
      <xdr:col>5</xdr:col>
      <xdr:colOff>1227638</xdr:colOff>
      <xdr:row>7</xdr:row>
      <xdr:rowOff>226777</xdr:rowOff>
    </xdr:to>
    <xdr:sp macro="" textlink="">
      <xdr:nvSpPr>
        <xdr:cNvPr id="7" name="Rounded Rectangle 6">
          <a:hlinkClick xmlns:r="http://schemas.openxmlformats.org/officeDocument/2006/relationships" r:id="rId2"/>
        </xdr:cNvPr>
        <xdr:cNvSpPr/>
      </xdr:nvSpPr>
      <xdr:spPr>
        <a:xfrm>
          <a:off x="7641773" y="2085513"/>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8</xdr:row>
      <xdr:rowOff>93427</xdr:rowOff>
    </xdr:from>
    <xdr:to>
      <xdr:col>5</xdr:col>
      <xdr:colOff>1227638</xdr:colOff>
      <xdr:row>8</xdr:row>
      <xdr:rowOff>226777</xdr:rowOff>
    </xdr:to>
    <xdr:sp macro="" textlink="">
      <xdr:nvSpPr>
        <xdr:cNvPr id="9" name="Rounded Rectangle 8">
          <a:hlinkClick xmlns:r="http://schemas.openxmlformats.org/officeDocument/2006/relationships" r:id="rId3"/>
        </xdr:cNvPr>
        <xdr:cNvSpPr/>
      </xdr:nvSpPr>
      <xdr:spPr>
        <a:xfrm>
          <a:off x="7641773" y="2401198"/>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10</xdr:row>
      <xdr:rowOff>93427</xdr:rowOff>
    </xdr:from>
    <xdr:to>
      <xdr:col>5</xdr:col>
      <xdr:colOff>1227638</xdr:colOff>
      <xdr:row>10</xdr:row>
      <xdr:rowOff>226777</xdr:rowOff>
    </xdr:to>
    <xdr:sp macro="" textlink="">
      <xdr:nvSpPr>
        <xdr:cNvPr id="10" name="Rounded Rectangle 9">
          <a:hlinkClick xmlns:r="http://schemas.openxmlformats.org/officeDocument/2006/relationships" r:id="rId4"/>
        </xdr:cNvPr>
        <xdr:cNvSpPr/>
      </xdr:nvSpPr>
      <xdr:spPr>
        <a:xfrm>
          <a:off x="7641773" y="2716884"/>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13</xdr:row>
      <xdr:rowOff>60959</xdr:rowOff>
    </xdr:from>
    <xdr:to>
      <xdr:col>5</xdr:col>
      <xdr:colOff>1227638</xdr:colOff>
      <xdr:row>13</xdr:row>
      <xdr:rowOff>194309</xdr:rowOff>
    </xdr:to>
    <xdr:sp macro="" textlink="">
      <xdr:nvSpPr>
        <xdr:cNvPr id="11" name="Rounded Rectangle 10">
          <a:hlinkClick xmlns:r="http://schemas.openxmlformats.org/officeDocument/2006/relationships" r:id="rId5"/>
        </xdr:cNvPr>
        <xdr:cNvSpPr/>
      </xdr:nvSpPr>
      <xdr:spPr>
        <a:xfrm>
          <a:off x="7641773" y="3435530"/>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14</xdr:row>
      <xdr:rowOff>60959</xdr:rowOff>
    </xdr:from>
    <xdr:to>
      <xdr:col>5</xdr:col>
      <xdr:colOff>1227638</xdr:colOff>
      <xdr:row>14</xdr:row>
      <xdr:rowOff>194309</xdr:rowOff>
    </xdr:to>
    <xdr:sp macro="" textlink="">
      <xdr:nvSpPr>
        <xdr:cNvPr id="12" name="Rounded Rectangle 11">
          <a:hlinkClick xmlns:r="http://schemas.openxmlformats.org/officeDocument/2006/relationships" r:id="rId6"/>
        </xdr:cNvPr>
        <xdr:cNvSpPr/>
      </xdr:nvSpPr>
      <xdr:spPr>
        <a:xfrm>
          <a:off x="7641773" y="3685902"/>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11</xdr:row>
      <xdr:rowOff>93427</xdr:rowOff>
    </xdr:from>
    <xdr:to>
      <xdr:col>5</xdr:col>
      <xdr:colOff>1227638</xdr:colOff>
      <xdr:row>11</xdr:row>
      <xdr:rowOff>226777</xdr:rowOff>
    </xdr:to>
    <xdr:sp macro="" textlink="">
      <xdr:nvSpPr>
        <xdr:cNvPr id="13" name="Rounded Rectangle 12">
          <a:hlinkClick xmlns:r="http://schemas.openxmlformats.org/officeDocument/2006/relationships" r:id="rId7"/>
        </xdr:cNvPr>
        <xdr:cNvSpPr/>
      </xdr:nvSpPr>
      <xdr:spPr>
        <a:xfrm>
          <a:off x="7641773" y="3032570"/>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555173</xdr:colOff>
      <xdr:row>9</xdr:row>
      <xdr:rowOff>98637</xdr:rowOff>
    </xdr:from>
    <xdr:to>
      <xdr:col>5</xdr:col>
      <xdr:colOff>1227638</xdr:colOff>
      <xdr:row>9</xdr:row>
      <xdr:rowOff>231987</xdr:rowOff>
    </xdr:to>
    <xdr:sp macro="" textlink="">
      <xdr:nvSpPr>
        <xdr:cNvPr id="14" name="Rounded Rectangle 13">
          <a:hlinkClick xmlns:r="http://schemas.openxmlformats.org/officeDocument/2006/relationships" r:id="rId8"/>
        </xdr:cNvPr>
        <xdr:cNvSpPr/>
      </xdr:nvSpPr>
      <xdr:spPr>
        <a:xfrm>
          <a:off x="7970019" y="2707022"/>
          <a:ext cx="672465" cy="1333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5</xdr:col>
      <xdr:colOff>642937</xdr:colOff>
      <xdr:row>3</xdr:row>
      <xdr:rowOff>158112</xdr:rowOff>
    </xdr:from>
    <xdr:to>
      <xdr:col>6</xdr:col>
      <xdr:colOff>11906</xdr:colOff>
      <xdr:row>4</xdr:row>
      <xdr:rowOff>98670</xdr:rowOff>
    </xdr:to>
    <xdr:pic>
      <xdr:nvPicPr>
        <xdr:cNvPr id="4" name="Picture 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58125" y="300987"/>
          <a:ext cx="1083469" cy="9287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1676400</xdr:colOff>
      <xdr:row>3</xdr:row>
      <xdr:rowOff>62752</xdr:rowOff>
    </xdr:from>
    <xdr:to>
      <xdr:col>6</xdr:col>
      <xdr:colOff>3429866</xdr:colOff>
      <xdr:row>3</xdr:row>
      <xdr:rowOff>425046</xdr:rowOff>
    </xdr:to>
    <xdr:sp macro="" textlink="">
      <xdr:nvSpPr>
        <xdr:cNvPr id="2" name="Rounded Rectangle 1">
          <a:hlinkClick xmlns:r="http://schemas.openxmlformats.org/officeDocument/2006/relationships" r:id="rId1"/>
        </xdr:cNvPr>
        <xdr:cNvSpPr/>
      </xdr:nvSpPr>
      <xdr:spPr>
        <a:xfrm>
          <a:off x="10652760" y="192292"/>
          <a:ext cx="1753466" cy="362294"/>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642075</xdr:colOff>
      <xdr:row>2</xdr:row>
      <xdr:rowOff>72886</xdr:rowOff>
    </xdr:from>
    <xdr:to>
      <xdr:col>21</xdr:col>
      <xdr:colOff>435</xdr:colOff>
      <xdr:row>2</xdr:row>
      <xdr:rowOff>446065</xdr:rowOff>
    </xdr:to>
    <xdr:sp macro="" textlink="">
      <xdr:nvSpPr>
        <xdr:cNvPr id="2" name="Rounded Rectangle 1">
          <a:hlinkClick xmlns:r="http://schemas.openxmlformats.org/officeDocument/2006/relationships" r:id="rId1"/>
        </xdr:cNvPr>
        <xdr:cNvSpPr/>
      </xdr:nvSpPr>
      <xdr:spPr>
        <a:xfrm>
          <a:off x="17156693" y="239141"/>
          <a:ext cx="1769051" cy="373179"/>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twoCellAnchor>
    <xdr:from>
      <xdr:col>6</xdr:col>
      <xdr:colOff>707572</xdr:colOff>
      <xdr:row>13</xdr:row>
      <xdr:rowOff>421342</xdr:rowOff>
    </xdr:from>
    <xdr:to>
      <xdr:col>20</xdr:col>
      <xdr:colOff>10886</xdr:colOff>
      <xdr:row>27</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707572</xdr:colOff>
      <xdr:row>30</xdr:row>
      <xdr:rowOff>57151</xdr:rowOff>
    </xdr:from>
    <xdr:to>
      <xdr:col>19</xdr:col>
      <xdr:colOff>725385</xdr:colOff>
      <xdr:row>41</xdr:row>
      <xdr:rowOff>228601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689710</xdr:colOff>
      <xdr:row>15</xdr:row>
      <xdr:rowOff>125885</xdr:rowOff>
    </xdr:from>
    <xdr:to>
      <xdr:col>19</xdr:col>
      <xdr:colOff>145225</xdr:colOff>
      <xdr:row>17</xdr:row>
      <xdr:rowOff>0</xdr:rowOff>
    </xdr:to>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67860" y="3821585"/>
          <a:ext cx="1017615" cy="430504"/>
        </a:xfrm>
        <a:prstGeom prst="rect">
          <a:avLst/>
        </a:prstGeom>
      </xdr:spPr>
    </xdr:pic>
    <xdr:clientData/>
  </xdr:twoCellAnchor>
  <xdr:twoCellAnchor>
    <xdr:from>
      <xdr:col>17</xdr:col>
      <xdr:colOff>455510</xdr:colOff>
      <xdr:row>49</xdr:row>
      <xdr:rowOff>0</xdr:rowOff>
    </xdr:from>
    <xdr:to>
      <xdr:col>19</xdr:col>
      <xdr:colOff>290947</xdr:colOff>
      <xdr:row>51</xdr:row>
      <xdr:rowOff>55132</xdr:rowOff>
    </xdr:to>
    <xdr:grpSp>
      <xdr:nvGrpSpPr>
        <xdr:cNvPr id="19" name="Group 18"/>
        <xdr:cNvGrpSpPr/>
      </xdr:nvGrpSpPr>
      <xdr:grpSpPr>
        <a:xfrm>
          <a:off x="16133660" y="12573000"/>
          <a:ext cx="1397537" cy="0"/>
          <a:chOff x="5036374" y="2538484"/>
          <a:chExt cx="977804" cy="335184"/>
        </a:xfrm>
      </xdr:grpSpPr>
      <xdr:grpSp>
        <xdr:nvGrpSpPr>
          <xdr:cNvPr id="20" name="Group 19"/>
          <xdr:cNvGrpSpPr/>
        </xdr:nvGrpSpPr>
        <xdr:grpSpPr>
          <a:xfrm>
            <a:off x="5360891" y="2579367"/>
            <a:ext cx="653287" cy="257678"/>
            <a:chOff x="4245473" y="4438382"/>
            <a:chExt cx="616362" cy="243115"/>
          </a:xfrm>
        </xdr:grpSpPr>
        <xdr:sp macro="" textlink="">
          <xdr:nvSpPr>
            <xdr:cNvPr id="22" name="Freeform 21"/>
            <xdr:cNvSpPr>
              <a:spLocks/>
            </xdr:cNvSpPr>
          </xdr:nvSpPr>
          <xdr:spPr bwMode="auto">
            <a:xfrm>
              <a:off x="4691226" y="4605023"/>
              <a:ext cx="75333" cy="76474"/>
            </a:xfrm>
            <a:custGeom>
              <a:avLst/>
              <a:gdLst/>
              <a:ahLst/>
              <a:cxnLst>
                <a:cxn ang="0">
                  <a:pos x="72" y="0"/>
                </a:cxn>
                <a:cxn ang="0">
                  <a:pos x="86" y="3"/>
                </a:cxn>
                <a:cxn ang="0">
                  <a:pos x="98" y="8"/>
                </a:cxn>
                <a:cxn ang="0">
                  <a:pos x="109" y="15"/>
                </a:cxn>
                <a:cxn ang="0">
                  <a:pos x="116" y="24"/>
                </a:cxn>
                <a:cxn ang="0">
                  <a:pos x="124" y="35"/>
                </a:cxn>
                <a:cxn ang="0">
                  <a:pos x="130" y="47"/>
                </a:cxn>
                <a:cxn ang="0">
                  <a:pos x="132" y="60"/>
                </a:cxn>
                <a:cxn ang="0">
                  <a:pos x="132" y="73"/>
                </a:cxn>
                <a:cxn ang="0">
                  <a:pos x="132" y="79"/>
                </a:cxn>
                <a:cxn ang="0">
                  <a:pos x="127" y="92"/>
                </a:cxn>
                <a:cxn ang="0">
                  <a:pos x="121" y="104"/>
                </a:cxn>
                <a:cxn ang="0">
                  <a:pos x="113" y="113"/>
                </a:cxn>
                <a:cxn ang="0">
                  <a:pos x="103" y="121"/>
                </a:cxn>
                <a:cxn ang="0">
                  <a:pos x="92" y="127"/>
                </a:cxn>
                <a:cxn ang="0">
                  <a:pos x="80" y="132"/>
                </a:cxn>
                <a:cxn ang="0">
                  <a:pos x="66" y="133"/>
                </a:cxn>
                <a:cxn ang="0">
                  <a:pos x="52" y="132"/>
                </a:cxn>
                <a:cxn ang="0">
                  <a:pos x="40" y="127"/>
                </a:cxn>
                <a:cxn ang="0">
                  <a:pos x="29" y="121"/>
                </a:cxn>
                <a:cxn ang="0">
                  <a:pos x="18" y="113"/>
                </a:cxn>
                <a:cxn ang="0">
                  <a:pos x="11" y="104"/>
                </a:cxn>
                <a:cxn ang="0">
                  <a:pos x="5" y="92"/>
                </a:cxn>
                <a:cxn ang="0">
                  <a:pos x="2" y="79"/>
                </a:cxn>
                <a:cxn ang="0">
                  <a:pos x="0" y="66"/>
                </a:cxn>
                <a:cxn ang="0">
                  <a:pos x="2" y="53"/>
                </a:cxn>
                <a:cxn ang="0">
                  <a:pos x="5" y="41"/>
                </a:cxn>
                <a:cxn ang="0">
                  <a:pos x="11" y="29"/>
                </a:cxn>
                <a:cxn ang="0">
                  <a:pos x="18" y="20"/>
                </a:cxn>
                <a:cxn ang="0">
                  <a:pos x="29" y="12"/>
                </a:cxn>
                <a:cxn ang="0">
                  <a:pos x="40" y="4"/>
                </a:cxn>
                <a:cxn ang="0">
                  <a:pos x="52" y="1"/>
                </a:cxn>
                <a:cxn ang="0">
                  <a:pos x="66" y="0"/>
                </a:cxn>
              </a:cxnLst>
              <a:rect l="0" t="0" r="r" b="b"/>
              <a:pathLst>
                <a:path w="132" h="133">
                  <a:moveTo>
                    <a:pt x="66" y="0"/>
                  </a:moveTo>
                  <a:lnTo>
                    <a:pt x="72" y="0"/>
                  </a:lnTo>
                  <a:lnTo>
                    <a:pt x="80" y="1"/>
                  </a:lnTo>
                  <a:lnTo>
                    <a:pt x="86" y="3"/>
                  </a:lnTo>
                  <a:lnTo>
                    <a:pt x="92" y="4"/>
                  </a:lnTo>
                  <a:lnTo>
                    <a:pt x="98" y="8"/>
                  </a:lnTo>
                  <a:lnTo>
                    <a:pt x="103" y="12"/>
                  </a:lnTo>
                  <a:lnTo>
                    <a:pt x="109" y="15"/>
                  </a:lnTo>
                  <a:lnTo>
                    <a:pt x="113" y="20"/>
                  </a:lnTo>
                  <a:lnTo>
                    <a:pt x="116" y="24"/>
                  </a:lnTo>
                  <a:lnTo>
                    <a:pt x="121" y="29"/>
                  </a:lnTo>
                  <a:lnTo>
                    <a:pt x="124" y="35"/>
                  </a:lnTo>
                  <a:lnTo>
                    <a:pt x="127" y="41"/>
                  </a:lnTo>
                  <a:lnTo>
                    <a:pt x="130" y="47"/>
                  </a:lnTo>
                  <a:lnTo>
                    <a:pt x="132" y="53"/>
                  </a:lnTo>
                  <a:lnTo>
                    <a:pt x="132" y="60"/>
                  </a:lnTo>
                  <a:lnTo>
                    <a:pt x="132" y="66"/>
                  </a:lnTo>
                  <a:lnTo>
                    <a:pt x="132" y="73"/>
                  </a:lnTo>
                  <a:lnTo>
                    <a:pt x="132" y="76"/>
                  </a:lnTo>
                  <a:lnTo>
                    <a:pt x="132" y="79"/>
                  </a:lnTo>
                  <a:lnTo>
                    <a:pt x="130" y="86"/>
                  </a:lnTo>
                  <a:lnTo>
                    <a:pt x="127" y="92"/>
                  </a:lnTo>
                  <a:lnTo>
                    <a:pt x="124" y="98"/>
                  </a:lnTo>
                  <a:lnTo>
                    <a:pt x="121" y="104"/>
                  </a:lnTo>
                  <a:lnTo>
                    <a:pt x="116" y="109"/>
                  </a:lnTo>
                  <a:lnTo>
                    <a:pt x="113" y="113"/>
                  </a:lnTo>
                  <a:lnTo>
                    <a:pt x="109" y="118"/>
                  </a:lnTo>
                  <a:lnTo>
                    <a:pt x="103" y="121"/>
                  </a:lnTo>
                  <a:lnTo>
                    <a:pt x="98" y="125"/>
                  </a:lnTo>
                  <a:lnTo>
                    <a:pt x="92" y="127"/>
                  </a:lnTo>
                  <a:lnTo>
                    <a:pt x="86" y="130"/>
                  </a:lnTo>
                  <a:lnTo>
                    <a:pt x="80" y="132"/>
                  </a:lnTo>
                  <a:lnTo>
                    <a:pt x="72" y="133"/>
                  </a:lnTo>
                  <a:lnTo>
                    <a:pt x="66" y="133"/>
                  </a:lnTo>
                  <a:lnTo>
                    <a:pt x="60" y="133"/>
                  </a:lnTo>
                  <a:lnTo>
                    <a:pt x="52" y="132"/>
                  </a:lnTo>
                  <a:lnTo>
                    <a:pt x="46" y="130"/>
                  </a:lnTo>
                  <a:lnTo>
                    <a:pt x="40" y="127"/>
                  </a:lnTo>
                  <a:lnTo>
                    <a:pt x="34" y="125"/>
                  </a:lnTo>
                  <a:lnTo>
                    <a:pt x="29" y="121"/>
                  </a:lnTo>
                  <a:lnTo>
                    <a:pt x="23" y="118"/>
                  </a:lnTo>
                  <a:lnTo>
                    <a:pt x="18" y="113"/>
                  </a:lnTo>
                  <a:lnTo>
                    <a:pt x="15" y="109"/>
                  </a:lnTo>
                  <a:lnTo>
                    <a:pt x="11" y="104"/>
                  </a:lnTo>
                  <a:lnTo>
                    <a:pt x="8" y="98"/>
                  </a:lnTo>
                  <a:lnTo>
                    <a:pt x="5" y="92"/>
                  </a:lnTo>
                  <a:lnTo>
                    <a:pt x="3" y="86"/>
                  </a:lnTo>
                  <a:lnTo>
                    <a:pt x="2" y="79"/>
                  </a:lnTo>
                  <a:lnTo>
                    <a:pt x="0" y="73"/>
                  </a:lnTo>
                  <a:lnTo>
                    <a:pt x="0" y="66"/>
                  </a:lnTo>
                  <a:lnTo>
                    <a:pt x="0" y="60"/>
                  </a:lnTo>
                  <a:lnTo>
                    <a:pt x="2" y="53"/>
                  </a:lnTo>
                  <a:lnTo>
                    <a:pt x="3" y="47"/>
                  </a:lnTo>
                  <a:lnTo>
                    <a:pt x="5" y="41"/>
                  </a:lnTo>
                  <a:lnTo>
                    <a:pt x="8" y="35"/>
                  </a:lnTo>
                  <a:lnTo>
                    <a:pt x="11" y="29"/>
                  </a:lnTo>
                  <a:lnTo>
                    <a:pt x="15" y="24"/>
                  </a:lnTo>
                  <a:lnTo>
                    <a:pt x="18" y="20"/>
                  </a:lnTo>
                  <a:lnTo>
                    <a:pt x="25" y="15"/>
                  </a:lnTo>
                  <a:lnTo>
                    <a:pt x="29" y="12"/>
                  </a:lnTo>
                  <a:lnTo>
                    <a:pt x="34" y="8"/>
                  </a:lnTo>
                  <a:lnTo>
                    <a:pt x="40" y="4"/>
                  </a:lnTo>
                  <a:lnTo>
                    <a:pt x="46" y="3"/>
                  </a:lnTo>
                  <a:lnTo>
                    <a:pt x="52" y="1"/>
                  </a:lnTo>
                  <a:lnTo>
                    <a:pt x="60" y="0"/>
                  </a:lnTo>
                  <a:lnTo>
                    <a:pt x="66" y="0"/>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3" name="Freeform 22"/>
            <xdr:cNvSpPr>
              <a:spLocks/>
            </xdr:cNvSpPr>
          </xdr:nvSpPr>
          <xdr:spPr bwMode="auto">
            <a:xfrm>
              <a:off x="4245473" y="4438382"/>
              <a:ext cx="616362" cy="218010"/>
            </a:xfrm>
            <a:custGeom>
              <a:avLst/>
              <a:gdLst/>
              <a:ahLst/>
              <a:cxnLst>
                <a:cxn ang="0">
                  <a:pos x="386" y="362"/>
                </a:cxn>
                <a:cxn ang="0">
                  <a:pos x="383" y="341"/>
                </a:cxn>
                <a:cxn ang="0">
                  <a:pos x="377" y="322"/>
                </a:cxn>
                <a:cxn ang="0">
                  <a:pos x="369" y="306"/>
                </a:cxn>
                <a:cxn ang="0">
                  <a:pos x="357" y="292"/>
                </a:cxn>
                <a:cxn ang="0">
                  <a:pos x="342" y="281"/>
                </a:cxn>
                <a:cxn ang="0">
                  <a:pos x="323" y="274"/>
                </a:cxn>
                <a:cxn ang="0">
                  <a:pos x="300" y="272"/>
                </a:cxn>
                <a:cxn ang="0">
                  <a:pos x="280" y="274"/>
                </a:cxn>
                <a:cxn ang="0">
                  <a:pos x="264" y="280"/>
                </a:cxn>
                <a:cxn ang="0">
                  <a:pos x="250" y="289"/>
                </a:cxn>
                <a:cxn ang="0">
                  <a:pos x="238" y="301"/>
                </a:cxn>
                <a:cxn ang="0">
                  <a:pos x="228" y="316"/>
                </a:cxn>
                <a:cxn ang="0">
                  <a:pos x="221" y="333"/>
                </a:cxn>
                <a:cxn ang="0">
                  <a:pos x="216" y="350"/>
                </a:cxn>
                <a:cxn ang="0">
                  <a:pos x="215" y="370"/>
                </a:cxn>
                <a:cxn ang="0">
                  <a:pos x="20" y="382"/>
                </a:cxn>
                <a:cxn ang="0">
                  <a:pos x="8" y="381"/>
                </a:cxn>
                <a:cxn ang="0">
                  <a:pos x="3" y="376"/>
                </a:cxn>
                <a:cxn ang="0">
                  <a:pos x="0" y="368"/>
                </a:cxn>
                <a:cxn ang="0">
                  <a:pos x="0" y="179"/>
                </a:cxn>
                <a:cxn ang="0">
                  <a:pos x="65" y="18"/>
                </a:cxn>
                <a:cxn ang="0">
                  <a:pos x="68" y="13"/>
                </a:cxn>
                <a:cxn ang="0">
                  <a:pos x="75" y="6"/>
                </a:cxn>
                <a:cxn ang="0">
                  <a:pos x="80" y="3"/>
                </a:cxn>
                <a:cxn ang="0">
                  <a:pos x="92" y="1"/>
                </a:cxn>
                <a:cxn ang="0">
                  <a:pos x="1015" y="0"/>
                </a:cxn>
                <a:cxn ang="0">
                  <a:pos x="1026" y="12"/>
                </a:cxn>
                <a:cxn ang="0">
                  <a:pos x="1041" y="27"/>
                </a:cxn>
                <a:cxn ang="0">
                  <a:pos x="1049" y="38"/>
                </a:cxn>
                <a:cxn ang="0">
                  <a:pos x="1050" y="45"/>
                </a:cxn>
                <a:cxn ang="0">
                  <a:pos x="1047" y="49"/>
                </a:cxn>
                <a:cxn ang="0">
                  <a:pos x="1035" y="53"/>
                </a:cxn>
                <a:cxn ang="0">
                  <a:pos x="1078" y="171"/>
                </a:cxn>
                <a:cxn ang="0">
                  <a:pos x="1080" y="182"/>
                </a:cxn>
                <a:cxn ang="0">
                  <a:pos x="1081" y="359"/>
                </a:cxn>
                <a:cxn ang="0">
                  <a:pos x="1080" y="375"/>
                </a:cxn>
                <a:cxn ang="0">
                  <a:pos x="1076" y="379"/>
                </a:cxn>
                <a:cxn ang="0">
                  <a:pos x="1070" y="382"/>
                </a:cxn>
                <a:cxn ang="0">
                  <a:pos x="1060" y="382"/>
                </a:cxn>
                <a:cxn ang="0">
                  <a:pos x="937" y="375"/>
                </a:cxn>
                <a:cxn ang="0">
                  <a:pos x="934" y="355"/>
                </a:cxn>
                <a:cxn ang="0">
                  <a:pos x="930" y="336"/>
                </a:cxn>
                <a:cxn ang="0">
                  <a:pos x="922" y="318"/>
                </a:cxn>
                <a:cxn ang="0">
                  <a:pos x="913" y="303"/>
                </a:cxn>
                <a:cxn ang="0">
                  <a:pos x="899" y="289"/>
                </a:cxn>
                <a:cxn ang="0">
                  <a:pos x="884" y="280"/>
                </a:cxn>
                <a:cxn ang="0">
                  <a:pos x="865" y="274"/>
                </a:cxn>
                <a:cxn ang="0">
                  <a:pos x="845" y="270"/>
                </a:cxn>
                <a:cxn ang="0">
                  <a:pos x="822" y="274"/>
                </a:cxn>
                <a:cxn ang="0">
                  <a:pos x="804" y="280"/>
                </a:cxn>
                <a:cxn ang="0">
                  <a:pos x="790" y="292"/>
                </a:cxn>
                <a:cxn ang="0">
                  <a:pos x="778" y="306"/>
                </a:cxn>
                <a:cxn ang="0">
                  <a:pos x="770" y="322"/>
                </a:cxn>
                <a:cxn ang="0">
                  <a:pos x="764" y="342"/>
                </a:cxn>
                <a:cxn ang="0">
                  <a:pos x="761" y="362"/>
                </a:cxn>
                <a:cxn ang="0">
                  <a:pos x="388" y="382"/>
                </a:cxn>
              </a:cxnLst>
              <a:rect l="0" t="0" r="r" b="b"/>
              <a:pathLst>
                <a:path w="1081" h="382">
                  <a:moveTo>
                    <a:pt x="388" y="382"/>
                  </a:moveTo>
                  <a:lnTo>
                    <a:pt x="386" y="362"/>
                  </a:lnTo>
                  <a:lnTo>
                    <a:pt x="385" y="352"/>
                  </a:lnTo>
                  <a:lnTo>
                    <a:pt x="383" y="341"/>
                  </a:lnTo>
                  <a:lnTo>
                    <a:pt x="380" y="332"/>
                  </a:lnTo>
                  <a:lnTo>
                    <a:pt x="377" y="322"/>
                  </a:lnTo>
                  <a:lnTo>
                    <a:pt x="374" y="313"/>
                  </a:lnTo>
                  <a:lnTo>
                    <a:pt x="369" y="306"/>
                  </a:lnTo>
                  <a:lnTo>
                    <a:pt x="363" y="298"/>
                  </a:lnTo>
                  <a:lnTo>
                    <a:pt x="357" y="292"/>
                  </a:lnTo>
                  <a:lnTo>
                    <a:pt x="351" y="286"/>
                  </a:lnTo>
                  <a:lnTo>
                    <a:pt x="342" y="281"/>
                  </a:lnTo>
                  <a:lnTo>
                    <a:pt x="334" y="277"/>
                  </a:lnTo>
                  <a:lnTo>
                    <a:pt x="323" y="274"/>
                  </a:lnTo>
                  <a:lnTo>
                    <a:pt x="313" y="272"/>
                  </a:lnTo>
                  <a:lnTo>
                    <a:pt x="300" y="272"/>
                  </a:lnTo>
                  <a:lnTo>
                    <a:pt x="291" y="272"/>
                  </a:lnTo>
                  <a:lnTo>
                    <a:pt x="280" y="274"/>
                  </a:lnTo>
                  <a:lnTo>
                    <a:pt x="273" y="277"/>
                  </a:lnTo>
                  <a:lnTo>
                    <a:pt x="264" y="280"/>
                  </a:lnTo>
                  <a:lnTo>
                    <a:pt x="256" y="284"/>
                  </a:lnTo>
                  <a:lnTo>
                    <a:pt x="250" y="289"/>
                  </a:lnTo>
                  <a:lnTo>
                    <a:pt x="244" y="295"/>
                  </a:lnTo>
                  <a:lnTo>
                    <a:pt x="238" y="301"/>
                  </a:lnTo>
                  <a:lnTo>
                    <a:pt x="231" y="309"/>
                  </a:lnTo>
                  <a:lnTo>
                    <a:pt x="228" y="316"/>
                  </a:lnTo>
                  <a:lnTo>
                    <a:pt x="224" y="324"/>
                  </a:lnTo>
                  <a:lnTo>
                    <a:pt x="221" y="333"/>
                  </a:lnTo>
                  <a:lnTo>
                    <a:pt x="218" y="342"/>
                  </a:lnTo>
                  <a:lnTo>
                    <a:pt x="216" y="350"/>
                  </a:lnTo>
                  <a:lnTo>
                    <a:pt x="215" y="359"/>
                  </a:lnTo>
                  <a:lnTo>
                    <a:pt x="215" y="370"/>
                  </a:lnTo>
                  <a:lnTo>
                    <a:pt x="215" y="382"/>
                  </a:lnTo>
                  <a:lnTo>
                    <a:pt x="20" y="382"/>
                  </a:lnTo>
                  <a:lnTo>
                    <a:pt x="11" y="382"/>
                  </a:lnTo>
                  <a:lnTo>
                    <a:pt x="8" y="381"/>
                  </a:lnTo>
                  <a:lnTo>
                    <a:pt x="5" y="379"/>
                  </a:lnTo>
                  <a:lnTo>
                    <a:pt x="3" y="376"/>
                  </a:lnTo>
                  <a:lnTo>
                    <a:pt x="2" y="373"/>
                  </a:lnTo>
                  <a:lnTo>
                    <a:pt x="0" y="368"/>
                  </a:lnTo>
                  <a:lnTo>
                    <a:pt x="0" y="364"/>
                  </a:lnTo>
                  <a:lnTo>
                    <a:pt x="0" y="179"/>
                  </a:lnTo>
                  <a:lnTo>
                    <a:pt x="61" y="22"/>
                  </a:lnTo>
                  <a:lnTo>
                    <a:pt x="65" y="18"/>
                  </a:lnTo>
                  <a:lnTo>
                    <a:pt x="66" y="15"/>
                  </a:lnTo>
                  <a:lnTo>
                    <a:pt x="68" y="13"/>
                  </a:lnTo>
                  <a:lnTo>
                    <a:pt x="71" y="9"/>
                  </a:lnTo>
                  <a:lnTo>
                    <a:pt x="75" y="6"/>
                  </a:lnTo>
                  <a:lnTo>
                    <a:pt x="78" y="4"/>
                  </a:lnTo>
                  <a:lnTo>
                    <a:pt x="80" y="3"/>
                  </a:lnTo>
                  <a:lnTo>
                    <a:pt x="86" y="1"/>
                  </a:lnTo>
                  <a:lnTo>
                    <a:pt x="92" y="1"/>
                  </a:lnTo>
                  <a:lnTo>
                    <a:pt x="98" y="0"/>
                  </a:lnTo>
                  <a:lnTo>
                    <a:pt x="1015" y="0"/>
                  </a:lnTo>
                  <a:lnTo>
                    <a:pt x="1015" y="4"/>
                  </a:lnTo>
                  <a:lnTo>
                    <a:pt x="1026" y="12"/>
                  </a:lnTo>
                  <a:lnTo>
                    <a:pt x="1037" y="21"/>
                  </a:lnTo>
                  <a:lnTo>
                    <a:pt x="1041" y="27"/>
                  </a:lnTo>
                  <a:lnTo>
                    <a:pt x="1046" y="32"/>
                  </a:lnTo>
                  <a:lnTo>
                    <a:pt x="1049" y="38"/>
                  </a:lnTo>
                  <a:lnTo>
                    <a:pt x="1050" y="44"/>
                  </a:lnTo>
                  <a:lnTo>
                    <a:pt x="1050" y="45"/>
                  </a:lnTo>
                  <a:lnTo>
                    <a:pt x="1049" y="49"/>
                  </a:lnTo>
                  <a:lnTo>
                    <a:pt x="1047" y="49"/>
                  </a:lnTo>
                  <a:lnTo>
                    <a:pt x="1044" y="50"/>
                  </a:lnTo>
                  <a:lnTo>
                    <a:pt x="1035" y="53"/>
                  </a:lnTo>
                  <a:lnTo>
                    <a:pt x="1075" y="163"/>
                  </a:lnTo>
                  <a:lnTo>
                    <a:pt x="1078" y="171"/>
                  </a:lnTo>
                  <a:lnTo>
                    <a:pt x="1080" y="176"/>
                  </a:lnTo>
                  <a:lnTo>
                    <a:pt x="1080" y="182"/>
                  </a:lnTo>
                  <a:lnTo>
                    <a:pt x="1081" y="192"/>
                  </a:lnTo>
                  <a:lnTo>
                    <a:pt x="1081" y="359"/>
                  </a:lnTo>
                  <a:lnTo>
                    <a:pt x="1081" y="370"/>
                  </a:lnTo>
                  <a:lnTo>
                    <a:pt x="1080" y="375"/>
                  </a:lnTo>
                  <a:lnTo>
                    <a:pt x="1078" y="378"/>
                  </a:lnTo>
                  <a:lnTo>
                    <a:pt x="1076" y="379"/>
                  </a:lnTo>
                  <a:lnTo>
                    <a:pt x="1073" y="381"/>
                  </a:lnTo>
                  <a:lnTo>
                    <a:pt x="1070" y="382"/>
                  </a:lnTo>
                  <a:lnTo>
                    <a:pt x="1067" y="382"/>
                  </a:lnTo>
                  <a:lnTo>
                    <a:pt x="1060" y="382"/>
                  </a:lnTo>
                  <a:lnTo>
                    <a:pt x="936" y="382"/>
                  </a:lnTo>
                  <a:lnTo>
                    <a:pt x="937" y="375"/>
                  </a:lnTo>
                  <a:lnTo>
                    <a:pt x="936" y="364"/>
                  </a:lnTo>
                  <a:lnTo>
                    <a:pt x="934" y="355"/>
                  </a:lnTo>
                  <a:lnTo>
                    <a:pt x="933" y="345"/>
                  </a:lnTo>
                  <a:lnTo>
                    <a:pt x="930" y="336"/>
                  </a:lnTo>
                  <a:lnTo>
                    <a:pt x="926" y="327"/>
                  </a:lnTo>
                  <a:lnTo>
                    <a:pt x="922" y="318"/>
                  </a:lnTo>
                  <a:lnTo>
                    <a:pt x="917" y="310"/>
                  </a:lnTo>
                  <a:lnTo>
                    <a:pt x="913" y="303"/>
                  </a:lnTo>
                  <a:lnTo>
                    <a:pt x="907" y="296"/>
                  </a:lnTo>
                  <a:lnTo>
                    <a:pt x="899" y="289"/>
                  </a:lnTo>
                  <a:lnTo>
                    <a:pt x="891" y="284"/>
                  </a:lnTo>
                  <a:lnTo>
                    <a:pt x="884" y="280"/>
                  </a:lnTo>
                  <a:lnTo>
                    <a:pt x="874" y="275"/>
                  </a:lnTo>
                  <a:lnTo>
                    <a:pt x="865" y="274"/>
                  </a:lnTo>
                  <a:lnTo>
                    <a:pt x="856" y="270"/>
                  </a:lnTo>
                  <a:lnTo>
                    <a:pt x="845" y="270"/>
                  </a:lnTo>
                  <a:lnTo>
                    <a:pt x="833" y="270"/>
                  </a:lnTo>
                  <a:lnTo>
                    <a:pt x="822" y="274"/>
                  </a:lnTo>
                  <a:lnTo>
                    <a:pt x="813" y="277"/>
                  </a:lnTo>
                  <a:lnTo>
                    <a:pt x="804" y="280"/>
                  </a:lnTo>
                  <a:lnTo>
                    <a:pt x="796" y="286"/>
                  </a:lnTo>
                  <a:lnTo>
                    <a:pt x="790" y="292"/>
                  </a:lnTo>
                  <a:lnTo>
                    <a:pt x="784" y="298"/>
                  </a:lnTo>
                  <a:lnTo>
                    <a:pt x="778" y="306"/>
                  </a:lnTo>
                  <a:lnTo>
                    <a:pt x="773" y="315"/>
                  </a:lnTo>
                  <a:lnTo>
                    <a:pt x="770" y="322"/>
                  </a:lnTo>
                  <a:lnTo>
                    <a:pt x="767" y="332"/>
                  </a:lnTo>
                  <a:lnTo>
                    <a:pt x="764" y="342"/>
                  </a:lnTo>
                  <a:lnTo>
                    <a:pt x="763" y="352"/>
                  </a:lnTo>
                  <a:lnTo>
                    <a:pt x="761" y="362"/>
                  </a:lnTo>
                  <a:lnTo>
                    <a:pt x="760" y="382"/>
                  </a:lnTo>
                  <a:lnTo>
                    <a:pt x="388" y="382"/>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nvGrpSpPr>
            <xdr:cNvPr id="24" name="Group 23"/>
            <xdr:cNvGrpSpPr>
              <a:grpSpLocks/>
            </xdr:cNvGrpSpPr>
          </xdr:nvGrpSpPr>
          <xdr:grpSpPr bwMode="auto">
            <a:xfrm>
              <a:off x="4258199" y="4454351"/>
              <a:ext cx="568422" cy="78758"/>
              <a:chOff x="3326" y="2265"/>
              <a:chExt cx="498" cy="69"/>
            </a:xfrm>
            <a:solidFill>
              <a:schemeClr val="bg1"/>
            </a:solidFill>
          </xdr:grpSpPr>
          <xdr:sp macro="" textlink="">
            <xdr:nvSpPr>
              <xdr:cNvPr id="25" name="Freeform 24"/>
              <xdr:cNvSpPr>
                <a:spLocks/>
              </xdr:cNvSpPr>
            </xdr:nvSpPr>
            <xdr:spPr bwMode="auto">
              <a:xfrm>
                <a:off x="3326" y="2275"/>
                <a:ext cx="76" cy="59"/>
              </a:xfrm>
              <a:custGeom>
                <a:avLst/>
                <a:gdLst/>
                <a:ahLst/>
                <a:cxnLst>
                  <a:cxn ang="0">
                    <a:pos x="0" y="119"/>
                  </a:cxn>
                  <a:cxn ang="0">
                    <a:pos x="152" y="119"/>
                  </a:cxn>
                  <a:cxn ang="0">
                    <a:pos x="152" y="0"/>
                  </a:cxn>
                  <a:cxn ang="0">
                    <a:pos x="66" y="0"/>
                  </a:cxn>
                  <a:cxn ang="0">
                    <a:pos x="59" y="0"/>
                  </a:cxn>
                  <a:cxn ang="0">
                    <a:pos x="56" y="2"/>
                  </a:cxn>
                  <a:cxn ang="0">
                    <a:pos x="53" y="3"/>
                  </a:cxn>
                  <a:cxn ang="0">
                    <a:pos x="49" y="5"/>
                  </a:cxn>
                  <a:cxn ang="0">
                    <a:pos x="46" y="8"/>
                  </a:cxn>
                  <a:cxn ang="0">
                    <a:pos x="45" y="11"/>
                  </a:cxn>
                  <a:cxn ang="0">
                    <a:pos x="42" y="14"/>
                  </a:cxn>
                  <a:cxn ang="0">
                    <a:pos x="0" y="119"/>
                  </a:cxn>
                </a:cxnLst>
                <a:rect l="0" t="0" r="r" b="b"/>
                <a:pathLst>
                  <a:path w="152" h="119">
                    <a:moveTo>
                      <a:pt x="0" y="119"/>
                    </a:moveTo>
                    <a:lnTo>
                      <a:pt x="152" y="119"/>
                    </a:lnTo>
                    <a:lnTo>
                      <a:pt x="152" y="0"/>
                    </a:lnTo>
                    <a:lnTo>
                      <a:pt x="66" y="0"/>
                    </a:lnTo>
                    <a:lnTo>
                      <a:pt x="59" y="0"/>
                    </a:lnTo>
                    <a:lnTo>
                      <a:pt x="56" y="2"/>
                    </a:lnTo>
                    <a:lnTo>
                      <a:pt x="53" y="3"/>
                    </a:lnTo>
                    <a:lnTo>
                      <a:pt x="49" y="5"/>
                    </a:lnTo>
                    <a:lnTo>
                      <a:pt x="46" y="8"/>
                    </a:lnTo>
                    <a:lnTo>
                      <a:pt x="45" y="11"/>
                    </a:lnTo>
                    <a:lnTo>
                      <a:pt x="42" y="14"/>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6" name="Rectangle 25"/>
              <xdr:cNvSpPr>
                <a:spLocks noChangeArrowheads="1"/>
              </xdr:cNvSpPr>
            </xdr:nvSpPr>
            <xdr:spPr bwMode="auto">
              <a:xfrm>
                <a:off x="3418" y="2275"/>
                <a:ext cx="67"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7" name="Rectangle 26"/>
              <xdr:cNvSpPr>
                <a:spLocks noChangeArrowheads="1"/>
              </xdr:cNvSpPr>
            </xdr:nvSpPr>
            <xdr:spPr bwMode="auto">
              <a:xfrm>
                <a:off x="3578"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8" name="Rectangle 27"/>
              <xdr:cNvSpPr>
                <a:spLocks noChangeArrowheads="1"/>
              </xdr:cNvSpPr>
            </xdr:nvSpPr>
            <xdr:spPr bwMode="auto">
              <a:xfrm>
                <a:off x="3664"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9" name="Freeform 28"/>
              <xdr:cNvSpPr>
                <a:spLocks/>
              </xdr:cNvSpPr>
            </xdr:nvSpPr>
            <xdr:spPr bwMode="auto">
              <a:xfrm>
                <a:off x="3749" y="2265"/>
                <a:ext cx="75" cy="59"/>
              </a:xfrm>
              <a:custGeom>
                <a:avLst/>
                <a:gdLst/>
                <a:ahLst/>
                <a:cxnLst>
                  <a:cxn ang="0">
                    <a:pos x="0" y="119"/>
                  </a:cxn>
                  <a:cxn ang="0">
                    <a:pos x="150" y="119"/>
                  </a:cxn>
                  <a:cxn ang="0">
                    <a:pos x="108" y="0"/>
                  </a:cxn>
                  <a:cxn ang="0">
                    <a:pos x="0" y="0"/>
                  </a:cxn>
                  <a:cxn ang="0">
                    <a:pos x="0" y="119"/>
                  </a:cxn>
                </a:cxnLst>
                <a:rect l="0" t="0" r="r" b="b"/>
                <a:pathLst>
                  <a:path w="150" h="119">
                    <a:moveTo>
                      <a:pt x="0" y="119"/>
                    </a:moveTo>
                    <a:lnTo>
                      <a:pt x="150" y="119"/>
                    </a:lnTo>
                    <a:lnTo>
                      <a:pt x="108" y="0"/>
                    </a:lnTo>
                    <a:lnTo>
                      <a:pt x="0" y="0"/>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grpSp>
      <xdr:pic>
        <xdr:nvPicPr>
          <xdr:cNvPr id="21" name="Picture 2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36374" y="2538484"/>
            <a:ext cx="644081" cy="335184"/>
          </a:xfrm>
          <a:prstGeom prst="rect">
            <a:avLst/>
          </a:prstGeom>
        </xdr:spPr>
      </xdr:pic>
    </xdr:grpSp>
    <xdr:clientData/>
  </xdr:twoCellAnchor>
  <xdr:twoCellAnchor>
    <xdr:from>
      <xdr:col>6</xdr:col>
      <xdr:colOff>718457</xdr:colOff>
      <xdr:row>43</xdr:row>
      <xdr:rowOff>595746</xdr:rowOff>
    </xdr:from>
    <xdr:to>
      <xdr:col>20</xdr:col>
      <xdr:colOff>62146</xdr:colOff>
      <xdr:row>71</xdr:row>
      <xdr:rowOff>193964</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762247</xdr:colOff>
      <xdr:row>83</xdr:row>
      <xdr:rowOff>133350</xdr:rowOff>
    </xdr:from>
    <xdr:to>
      <xdr:col>20</xdr:col>
      <xdr:colOff>60415</xdr:colOff>
      <xdr:row>120</xdr:row>
      <xdr:rowOff>10885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18</xdr:col>
      <xdr:colOff>103612</xdr:colOff>
      <xdr:row>48</xdr:row>
      <xdr:rowOff>152400</xdr:rowOff>
    </xdr:from>
    <xdr:to>
      <xdr:col>19</xdr:col>
      <xdr:colOff>352896</xdr:colOff>
      <xdr:row>53</xdr:row>
      <xdr:rowOff>133350</xdr:rowOff>
    </xdr:to>
    <xdr:pic>
      <xdr:nvPicPr>
        <xdr:cNvPr id="32" name="Picture 3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62812" y="12477750"/>
          <a:ext cx="1030334" cy="476250"/>
        </a:xfrm>
        <a:prstGeom prst="rect">
          <a:avLst/>
        </a:prstGeom>
      </xdr:spPr>
    </xdr:pic>
    <xdr:clientData/>
  </xdr:twoCellAnchor>
  <xdr:twoCellAnchor>
    <xdr:from>
      <xdr:col>17</xdr:col>
      <xdr:colOff>303108</xdr:colOff>
      <xdr:row>84</xdr:row>
      <xdr:rowOff>58911</xdr:rowOff>
    </xdr:from>
    <xdr:to>
      <xdr:col>19</xdr:col>
      <xdr:colOff>247541</xdr:colOff>
      <xdr:row>109</xdr:row>
      <xdr:rowOff>175640</xdr:rowOff>
    </xdr:to>
    <xdr:grpSp>
      <xdr:nvGrpSpPr>
        <xdr:cNvPr id="33" name="Group 32"/>
        <xdr:cNvGrpSpPr/>
      </xdr:nvGrpSpPr>
      <xdr:grpSpPr>
        <a:xfrm>
          <a:off x="15577744" y="16649729"/>
          <a:ext cx="1468433" cy="497729"/>
          <a:chOff x="5036374" y="2538484"/>
          <a:chExt cx="977804" cy="335184"/>
        </a:xfrm>
      </xdr:grpSpPr>
      <xdr:grpSp>
        <xdr:nvGrpSpPr>
          <xdr:cNvPr id="34" name="Group 33"/>
          <xdr:cNvGrpSpPr/>
        </xdr:nvGrpSpPr>
        <xdr:grpSpPr>
          <a:xfrm>
            <a:off x="5360891" y="2579367"/>
            <a:ext cx="653287" cy="257678"/>
            <a:chOff x="4245473" y="4438382"/>
            <a:chExt cx="616362" cy="243115"/>
          </a:xfrm>
        </xdr:grpSpPr>
        <xdr:sp macro="" textlink="">
          <xdr:nvSpPr>
            <xdr:cNvPr id="36" name="Freeform 35"/>
            <xdr:cNvSpPr>
              <a:spLocks/>
            </xdr:cNvSpPr>
          </xdr:nvSpPr>
          <xdr:spPr bwMode="auto">
            <a:xfrm>
              <a:off x="4691226" y="4605023"/>
              <a:ext cx="75333" cy="76474"/>
            </a:xfrm>
            <a:custGeom>
              <a:avLst/>
              <a:gdLst/>
              <a:ahLst/>
              <a:cxnLst>
                <a:cxn ang="0">
                  <a:pos x="72" y="0"/>
                </a:cxn>
                <a:cxn ang="0">
                  <a:pos x="86" y="3"/>
                </a:cxn>
                <a:cxn ang="0">
                  <a:pos x="98" y="8"/>
                </a:cxn>
                <a:cxn ang="0">
                  <a:pos x="109" y="15"/>
                </a:cxn>
                <a:cxn ang="0">
                  <a:pos x="116" y="24"/>
                </a:cxn>
                <a:cxn ang="0">
                  <a:pos x="124" y="35"/>
                </a:cxn>
                <a:cxn ang="0">
                  <a:pos x="130" y="47"/>
                </a:cxn>
                <a:cxn ang="0">
                  <a:pos x="132" y="60"/>
                </a:cxn>
                <a:cxn ang="0">
                  <a:pos x="132" y="73"/>
                </a:cxn>
                <a:cxn ang="0">
                  <a:pos x="132" y="79"/>
                </a:cxn>
                <a:cxn ang="0">
                  <a:pos x="127" y="92"/>
                </a:cxn>
                <a:cxn ang="0">
                  <a:pos x="121" y="104"/>
                </a:cxn>
                <a:cxn ang="0">
                  <a:pos x="113" y="113"/>
                </a:cxn>
                <a:cxn ang="0">
                  <a:pos x="103" y="121"/>
                </a:cxn>
                <a:cxn ang="0">
                  <a:pos x="92" y="127"/>
                </a:cxn>
                <a:cxn ang="0">
                  <a:pos x="80" y="132"/>
                </a:cxn>
                <a:cxn ang="0">
                  <a:pos x="66" y="133"/>
                </a:cxn>
                <a:cxn ang="0">
                  <a:pos x="52" y="132"/>
                </a:cxn>
                <a:cxn ang="0">
                  <a:pos x="40" y="127"/>
                </a:cxn>
                <a:cxn ang="0">
                  <a:pos x="29" y="121"/>
                </a:cxn>
                <a:cxn ang="0">
                  <a:pos x="18" y="113"/>
                </a:cxn>
                <a:cxn ang="0">
                  <a:pos x="11" y="104"/>
                </a:cxn>
                <a:cxn ang="0">
                  <a:pos x="5" y="92"/>
                </a:cxn>
                <a:cxn ang="0">
                  <a:pos x="2" y="79"/>
                </a:cxn>
                <a:cxn ang="0">
                  <a:pos x="0" y="66"/>
                </a:cxn>
                <a:cxn ang="0">
                  <a:pos x="2" y="53"/>
                </a:cxn>
                <a:cxn ang="0">
                  <a:pos x="5" y="41"/>
                </a:cxn>
                <a:cxn ang="0">
                  <a:pos x="11" y="29"/>
                </a:cxn>
                <a:cxn ang="0">
                  <a:pos x="18" y="20"/>
                </a:cxn>
                <a:cxn ang="0">
                  <a:pos x="29" y="12"/>
                </a:cxn>
                <a:cxn ang="0">
                  <a:pos x="40" y="4"/>
                </a:cxn>
                <a:cxn ang="0">
                  <a:pos x="52" y="1"/>
                </a:cxn>
                <a:cxn ang="0">
                  <a:pos x="66" y="0"/>
                </a:cxn>
              </a:cxnLst>
              <a:rect l="0" t="0" r="r" b="b"/>
              <a:pathLst>
                <a:path w="132" h="133">
                  <a:moveTo>
                    <a:pt x="66" y="0"/>
                  </a:moveTo>
                  <a:lnTo>
                    <a:pt x="72" y="0"/>
                  </a:lnTo>
                  <a:lnTo>
                    <a:pt x="80" y="1"/>
                  </a:lnTo>
                  <a:lnTo>
                    <a:pt x="86" y="3"/>
                  </a:lnTo>
                  <a:lnTo>
                    <a:pt x="92" y="4"/>
                  </a:lnTo>
                  <a:lnTo>
                    <a:pt x="98" y="8"/>
                  </a:lnTo>
                  <a:lnTo>
                    <a:pt x="103" y="12"/>
                  </a:lnTo>
                  <a:lnTo>
                    <a:pt x="109" y="15"/>
                  </a:lnTo>
                  <a:lnTo>
                    <a:pt x="113" y="20"/>
                  </a:lnTo>
                  <a:lnTo>
                    <a:pt x="116" y="24"/>
                  </a:lnTo>
                  <a:lnTo>
                    <a:pt x="121" y="29"/>
                  </a:lnTo>
                  <a:lnTo>
                    <a:pt x="124" y="35"/>
                  </a:lnTo>
                  <a:lnTo>
                    <a:pt x="127" y="41"/>
                  </a:lnTo>
                  <a:lnTo>
                    <a:pt x="130" y="47"/>
                  </a:lnTo>
                  <a:lnTo>
                    <a:pt x="132" y="53"/>
                  </a:lnTo>
                  <a:lnTo>
                    <a:pt x="132" y="60"/>
                  </a:lnTo>
                  <a:lnTo>
                    <a:pt x="132" y="66"/>
                  </a:lnTo>
                  <a:lnTo>
                    <a:pt x="132" y="73"/>
                  </a:lnTo>
                  <a:lnTo>
                    <a:pt x="132" y="76"/>
                  </a:lnTo>
                  <a:lnTo>
                    <a:pt x="132" y="79"/>
                  </a:lnTo>
                  <a:lnTo>
                    <a:pt x="130" y="86"/>
                  </a:lnTo>
                  <a:lnTo>
                    <a:pt x="127" y="92"/>
                  </a:lnTo>
                  <a:lnTo>
                    <a:pt x="124" y="98"/>
                  </a:lnTo>
                  <a:lnTo>
                    <a:pt x="121" y="104"/>
                  </a:lnTo>
                  <a:lnTo>
                    <a:pt x="116" y="109"/>
                  </a:lnTo>
                  <a:lnTo>
                    <a:pt x="113" y="113"/>
                  </a:lnTo>
                  <a:lnTo>
                    <a:pt x="109" y="118"/>
                  </a:lnTo>
                  <a:lnTo>
                    <a:pt x="103" y="121"/>
                  </a:lnTo>
                  <a:lnTo>
                    <a:pt x="98" y="125"/>
                  </a:lnTo>
                  <a:lnTo>
                    <a:pt x="92" y="127"/>
                  </a:lnTo>
                  <a:lnTo>
                    <a:pt x="86" y="130"/>
                  </a:lnTo>
                  <a:lnTo>
                    <a:pt x="80" y="132"/>
                  </a:lnTo>
                  <a:lnTo>
                    <a:pt x="72" y="133"/>
                  </a:lnTo>
                  <a:lnTo>
                    <a:pt x="66" y="133"/>
                  </a:lnTo>
                  <a:lnTo>
                    <a:pt x="60" y="133"/>
                  </a:lnTo>
                  <a:lnTo>
                    <a:pt x="52" y="132"/>
                  </a:lnTo>
                  <a:lnTo>
                    <a:pt x="46" y="130"/>
                  </a:lnTo>
                  <a:lnTo>
                    <a:pt x="40" y="127"/>
                  </a:lnTo>
                  <a:lnTo>
                    <a:pt x="34" y="125"/>
                  </a:lnTo>
                  <a:lnTo>
                    <a:pt x="29" y="121"/>
                  </a:lnTo>
                  <a:lnTo>
                    <a:pt x="23" y="118"/>
                  </a:lnTo>
                  <a:lnTo>
                    <a:pt x="18" y="113"/>
                  </a:lnTo>
                  <a:lnTo>
                    <a:pt x="15" y="109"/>
                  </a:lnTo>
                  <a:lnTo>
                    <a:pt x="11" y="104"/>
                  </a:lnTo>
                  <a:lnTo>
                    <a:pt x="8" y="98"/>
                  </a:lnTo>
                  <a:lnTo>
                    <a:pt x="5" y="92"/>
                  </a:lnTo>
                  <a:lnTo>
                    <a:pt x="3" y="86"/>
                  </a:lnTo>
                  <a:lnTo>
                    <a:pt x="2" y="79"/>
                  </a:lnTo>
                  <a:lnTo>
                    <a:pt x="0" y="73"/>
                  </a:lnTo>
                  <a:lnTo>
                    <a:pt x="0" y="66"/>
                  </a:lnTo>
                  <a:lnTo>
                    <a:pt x="0" y="60"/>
                  </a:lnTo>
                  <a:lnTo>
                    <a:pt x="2" y="53"/>
                  </a:lnTo>
                  <a:lnTo>
                    <a:pt x="3" y="47"/>
                  </a:lnTo>
                  <a:lnTo>
                    <a:pt x="5" y="41"/>
                  </a:lnTo>
                  <a:lnTo>
                    <a:pt x="8" y="35"/>
                  </a:lnTo>
                  <a:lnTo>
                    <a:pt x="11" y="29"/>
                  </a:lnTo>
                  <a:lnTo>
                    <a:pt x="15" y="24"/>
                  </a:lnTo>
                  <a:lnTo>
                    <a:pt x="18" y="20"/>
                  </a:lnTo>
                  <a:lnTo>
                    <a:pt x="25" y="15"/>
                  </a:lnTo>
                  <a:lnTo>
                    <a:pt x="29" y="12"/>
                  </a:lnTo>
                  <a:lnTo>
                    <a:pt x="34" y="8"/>
                  </a:lnTo>
                  <a:lnTo>
                    <a:pt x="40" y="4"/>
                  </a:lnTo>
                  <a:lnTo>
                    <a:pt x="46" y="3"/>
                  </a:lnTo>
                  <a:lnTo>
                    <a:pt x="52" y="1"/>
                  </a:lnTo>
                  <a:lnTo>
                    <a:pt x="60" y="0"/>
                  </a:lnTo>
                  <a:lnTo>
                    <a:pt x="66" y="0"/>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37" name="Freeform 36"/>
            <xdr:cNvSpPr>
              <a:spLocks/>
            </xdr:cNvSpPr>
          </xdr:nvSpPr>
          <xdr:spPr bwMode="auto">
            <a:xfrm>
              <a:off x="4245473" y="4438382"/>
              <a:ext cx="616362" cy="218010"/>
            </a:xfrm>
            <a:custGeom>
              <a:avLst/>
              <a:gdLst/>
              <a:ahLst/>
              <a:cxnLst>
                <a:cxn ang="0">
                  <a:pos x="386" y="362"/>
                </a:cxn>
                <a:cxn ang="0">
                  <a:pos x="383" y="341"/>
                </a:cxn>
                <a:cxn ang="0">
                  <a:pos x="377" y="322"/>
                </a:cxn>
                <a:cxn ang="0">
                  <a:pos x="369" y="306"/>
                </a:cxn>
                <a:cxn ang="0">
                  <a:pos x="357" y="292"/>
                </a:cxn>
                <a:cxn ang="0">
                  <a:pos x="342" y="281"/>
                </a:cxn>
                <a:cxn ang="0">
                  <a:pos x="323" y="274"/>
                </a:cxn>
                <a:cxn ang="0">
                  <a:pos x="300" y="272"/>
                </a:cxn>
                <a:cxn ang="0">
                  <a:pos x="280" y="274"/>
                </a:cxn>
                <a:cxn ang="0">
                  <a:pos x="264" y="280"/>
                </a:cxn>
                <a:cxn ang="0">
                  <a:pos x="250" y="289"/>
                </a:cxn>
                <a:cxn ang="0">
                  <a:pos x="238" y="301"/>
                </a:cxn>
                <a:cxn ang="0">
                  <a:pos x="228" y="316"/>
                </a:cxn>
                <a:cxn ang="0">
                  <a:pos x="221" y="333"/>
                </a:cxn>
                <a:cxn ang="0">
                  <a:pos x="216" y="350"/>
                </a:cxn>
                <a:cxn ang="0">
                  <a:pos x="215" y="370"/>
                </a:cxn>
                <a:cxn ang="0">
                  <a:pos x="20" y="382"/>
                </a:cxn>
                <a:cxn ang="0">
                  <a:pos x="8" y="381"/>
                </a:cxn>
                <a:cxn ang="0">
                  <a:pos x="3" y="376"/>
                </a:cxn>
                <a:cxn ang="0">
                  <a:pos x="0" y="368"/>
                </a:cxn>
                <a:cxn ang="0">
                  <a:pos x="0" y="179"/>
                </a:cxn>
                <a:cxn ang="0">
                  <a:pos x="65" y="18"/>
                </a:cxn>
                <a:cxn ang="0">
                  <a:pos x="68" y="13"/>
                </a:cxn>
                <a:cxn ang="0">
                  <a:pos x="75" y="6"/>
                </a:cxn>
                <a:cxn ang="0">
                  <a:pos x="80" y="3"/>
                </a:cxn>
                <a:cxn ang="0">
                  <a:pos x="92" y="1"/>
                </a:cxn>
                <a:cxn ang="0">
                  <a:pos x="1015" y="0"/>
                </a:cxn>
                <a:cxn ang="0">
                  <a:pos x="1026" y="12"/>
                </a:cxn>
                <a:cxn ang="0">
                  <a:pos x="1041" y="27"/>
                </a:cxn>
                <a:cxn ang="0">
                  <a:pos x="1049" y="38"/>
                </a:cxn>
                <a:cxn ang="0">
                  <a:pos x="1050" y="45"/>
                </a:cxn>
                <a:cxn ang="0">
                  <a:pos x="1047" y="49"/>
                </a:cxn>
                <a:cxn ang="0">
                  <a:pos x="1035" y="53"/>
                </a:cxn>
                <a:cxn ang="0">
                  <a:pos x="1078" y="171"/>
                </a:cxn>
                <a:cxn ang="0">
                  <a:pos x="1080" y="182"/>
                </a:cxn>
                <a:cxn ang="0">
                  <a:pos x="1081" y="359"/>
                </a:cxn>
                <a:cxn ang="0">
                  <a:pos x="1080" y="375"/>
                </a:cxn>
                <a:cxn ang="0">
                  <a:pos x="1076" y="379"/>
                </a:cxn>
                <a:cxn ang="0">
                  <a:pos x="1070" y="382"/>
                </a:cxn>
                <a:cxn ang="0">
                  <a:pos x="1060" y="382"/>
                </a:cxn>
                <a:cxn ang="0">
                  <a:pos x="937" y="375"/>
                </a:cxn>
                <a:cxn ang="0">
                  <a:pos x="934" y="355"/>
                </a:cxn>
                <a:cxn ang="0">
                  <a:pos x="930" y="336"/>
                </a:cxn>
                <a:cxn ang="0">
                  <a:pos x="922" y="318"/>
                </a:cxn>
                <a:cxn ang="0">
                  <a:pos x="913" y="303"/>
                </a:cxn>
                <a:cxn ang="0">
                  <a:pos x="899" y="289"/>
                </a:cxn>
                <a:cxn ang="0">
                  <a:pos x="884" y="280"/>
                </a:cxn>
                <a:cxn ang="0">
                  <a:pos x="865" y="274"/>
                </a:cxn>
                <a:cxn ang="0">
                  <a:pos x="845" y="270"/>
                </a:cxn>
                <a:cxn ang="0">
                  <a:pos x="822" y="274"/>
                </a:cxn>
                <a:cxn ang="0">
                  <a:pos x="804" y="280"/>
                </a:cxn>
                <a:cxn ang="0">
                  <a:pos x="790" y="292"/>
                </a:cxn>
                <a:cxn ang="0">
                  <a:pos x="778" y="306"/>
                </a:cxn>
                <a:cxn ang="0">
                  <a:pos x="770" y="322"/>
                </a:cxn>
                <a:cxn ang="0">
                  <a:pos x="764" y="342"/>
                </a:cxn>
                <a:cxn ang="0">
                  <a:pos x="761" y="362"/>
                </a:cxn>
                <a:cxn ang="0">
                  <a:pos x="388" y="382"/>
                </a:cxn>
              </a:cxnLst>
              <a:rect l="0" t="0" r="r" b="b"/>
              <a:pathLst>
                <a:path w="1081" h="382">
                  <a:moveTo>
                    <a:pt x="388" y="382"/>
                  </a:moveTo>
                  <a:lnTo>
                    <a:pt x="386" y="362"/>
                  </a:lnTo>
                  <a:lnTo>
                    <a:pt x="385" y="352"/>
                  </a:lnTo>
                  <a:lnTo>
                    <a:pt x="383" y="341"/>
                  </a:lnTo>
                  <a:lnTo>
                    <a:pt x="380" y="332"/>
                  </a:lnTo>
                  <a:lnTo>
                    <a:pt x="377" y="322"/>
                  </a:lnTo>
                  <a:lnTo>
                    <a:pt x="374" y="313"/>
                  </a:lnTo>
                  <a:lnTo>
                    <a:pt x="369" y="306"/>
                  </a:lnTo>
                  <a:lnTo>
                    <a:pt x="363" y="298"/>
                  </a:lnTo>
                  <a:lnTo>
                    <a:pt x="357" y="292"/>
                  </a:lnTo>
                  <a:lnTo>
                    <a:pt x="351" y="286"/>
                  </a:lnTo>
                  <a:lnTo>
                    <a:pt x="342" y="281"/>
                  </a:lnTo>
                  <a:lnTo>
                    <a:pt x="334" y="277"/>
                  </a:lnTo>
                  <a:lnTo>
                    <a:pt x="323" y="274"/>
                  </a:lnTo>
                  <a:lnTo>
                    <a:pt x="313" y="272"/>
                  </a:lnTo>
                  <a:lnTo>
                    <a:pt x="300" y="272"/>
                  </a:lnTo>
                  <a:lnTo>
                    <a:pt x="291" y="272"/>
                  </a:lnTo>
                  <a:lnTo>
                    <a:pt x="280" y="274"/>
                  </a:lnTo>
                  <a:lnTo>
                    <a:pt x="273" y="277"/>
                  </a:lnTo>
                  <a:lnTo>
                    <a:pt x="264" y="280"/>
                  </a:lnTo>
                  <a:lnTo>
                    <a:pt x="256" y="284"/>
                  </a:lnTo>
                  <a:lnTo>
                    <a:pt x="250" y="289"/>
                  </a:lnTo>
                  <a:lnTo>
                    <a:pt x="244" y="295"/>
                  </a:lnTo>
                  <a:lnTo>
                    <a:pt x="238" y="301"/>
                  </a:lnTo>
                  <a:lnTo>
                    <a:pt x="231" y="309"/>
                  </a:lnTo>
                  <a:lnTo>
                    <a:pt x="228" y="316"/>
                  </a:lnTo>
                  <a:lnTo>
                    <a:pt x="224" y="324"/>
                  </a:lnTo>
                  <a:lnTo>
                    <a:pt x="221" y="333"/>
                  </a:lnTo>
                  <a:lnTo>
                    <a:pt x="218" y="342"/>
                  </a:lnTo>
                  <a:lnTo>
                    <a:pt x="216" y="350"/>
                  </a:lnTo>
                  <a:lnTo>
                    <a:pt x="215" y="359"/>
                  </a:lnTo>
                  <a:lnTo>
                    <a:pt x="215" y="370"/>
                  </a:lnTo>
                  <a:lnTo>
                    <a:pt x="215" y="382"/>
                  </a:lnTo>
                  <a:lnTo>
                    <a:pt x="20" y="382"/>
                  </a:lnTo>
                  <a:lnTo>
                    <a:pt x="11" y="382"/>
                  </a:lnTo>
                  <a:lnTo>
                    <a:pt x="8" y="381"/>
                  </a:lnTo>
                  <a:lnTo>
                    <a:pt x="5" y="379"/>
                  </a:lnTo>
                  <a:lnTo>
                    <a:pt x="3" y="376"/>
                  </a:lnTo>
                  <a:lnTo>
                    <a:pt x="2" y="373"/>
                  </a:lnTo>
                  <a:lnTo>
                    <a:pt x="0" y="368"/>
                  </a:lnTo>
                  <a:lnTo>
                    <a:pt x="0" y="364"/>
                  </a:lnTo>
                  <a:lnTo>
                    <a:pt x="0" y="179"/>
                  </a:lnTo>
                  <a:lnTo>
                    <a:pt x="61" y="22"/>
                  </a:lnTo>
                  <a:lnTo>
                    <a:pt x="65" y="18"/>
                  </a:lnTo>
                  <a:lnTo>
                    <a:pt x="66" y="15"/>
                  </a:lnTo>
                  <a:lnTo>
                    <a:pt x="68" y="13"/>
                  </a:lnTo>
                  <a:lnTo>
                    <a:pt x="71" y="9"/>
                  </a:lnTo>
                  <a:lnTo>
                    <a:pt x="75" y="6"/>
                  </a:lnTo>
                  <a:lnTo>
                    <a:pt x="78" y="4"/>
                  </a:lnTo>
                  <a:lnTo>
                    <a:pt x="80" y="3"/>
                  </a:lnTo>
                  <a:lnTo>
                    <a:pt x="86" y="1"/>
                  </a:lnTo>
                  <a:lnTo>
                    <a:pt x="92" y="1"/>
                  </a:lnTo>
                  <a:lnTo>
                    <a:pt x="98" y="0"/>
                  </a:lnTo>
                  <a:lnTo>
                    <a:pt x="1015" y="0"/>
                  </a:lnTo>
                  <a:lnTo>
                    <a:pt x="1015" y="4"/>
                  </a:lnTo>
                  <a:lnTo>
                    <a:pt x="1026" y="12"/>
                  </a:lnTo>
                  <a:lnTo>
                    <a:pt x="1037" y="21"/>
                  </a:lnTo>
                  <a:lnTo>
                    <a:pt x="1041" y="27"/>
                  </a:lnTo>
                  <a:lnTo>
                    <a:pt x="1046" y="32"/>
                  </a:lnTo>
                  <a:lnTo>
                    <a:pt x="1049" y="38"/>
                  </a:lnTo>
                  <a:lnTo>
                    <a:pt x="1050" y="44"/>
                  </a:lnTo>
                  <a:lnTo>
                    <a:pt x="1050" y="45"/>
                  </a:lnTo>
                  <a:lnTo>
                    <a:pt x="1049" y="49"/>
                  </a:lnTo>
                  <a:lnTo>
                    <a:pt x="1047" y="49"/>
                  </a:lnTo>
                  <a:lnTo>
                    <a:pt x="1044" y="50"/>
                  </a:lnTo>
                  <a:lnTo>
                    <a:pt x="1035" y="53"/>
                  </a:lnTo>
                  <a:lnTo>
                    <a:pt x="1075" y="163"/>
                  </a:lnTo>
                  <a:lnTo>
                    <a:pt x="1078" y="171"/>
                  </a:lnTo>
                  <a:lnTo>
                    <a:pt x="1080" y="176"/>
                  </a:lnTo>
                  <a:lnTo>
                    <a:pt x="1080" y="182"/>
                  </a:lnTo>
                  <a:lnTo>
                    <a:pt x="1081" y="192"/>
                  </a:lnTo>
                  <a:lnTo>
                    <a:pt x="1081" y="359"/>
                  </a:lnTo>
                  <a:lnTo>
                    <a:pt x="1081" y="370"/>
                  </a:lnTo>
                  <a:lnTo>
                    <a:pt x="1080" y="375"/>
                  </a:lnTo>
                  <a:lnTo>
                    <a:pt x="1078" y="378"/>
                  </a:lnTo>
                  <a:lnTo>
                    <a:pt x="1076" y="379"/>
                  </a:lnTo>
                  <a:lnTo>
                    <a:pt x="1073" y="381"/>
                  </a:lnTo>
                  <a:lnTo>
                    <a:pt x="1070" y="382"/>
                  </a:lnTo>
                  <a:lnTo>
                    <a:pt x="1067" y="382"/>
                  </a:lnTo>
                  <a:lnTo>
                    <a:pt x="1060" y="382"/>
                  </a:lnTo>
                  <a:lnTo>
                    <a:pt x="936" y="382"/>
                  </a:lnTo>
                  <a:lnTo>
                    <a:pt x="937" y="375"/>
                  </a:lnTo>
                  <a:lnTo>
                    <a:pt x="936" y="364"/>
                  </a:lnTo>
                  <a:lnTo>
                    <a:pt x="934" y="355"/>
                  </a:lnTo>
                  <a:lnTo>
                    <a:pt x="933" y="345"/>
                  </a:lnTo>
                  <a:lnTo>
                    <a:pt x="930" y="336"/>
                  </a:lnTo>
                  <a:lnTo>
                    <a:pt x="926" y="327"/>
                  </a:lnTo>
                  <a:lnTo>
                    <a:pt x="922" y="318"/>
                  </a:lnTo>
                  <a:lnTo>
                    <a:pt x="917" y="310"/>
                  </a:lnTo>
                  <a:lnTo>
                    <a:pt x="913" y="303"/>
                  </a:lnTo>
                  <a:lnTo>
                    <a:pt x="907" y="296"/>
                  </a:lnTo>
                  <a:lnTo>
                    <a:pt x="899" y="289"/>
                  </a:lnTo>
                  <a:lnTo>
                    <a:pt x="891" y="284"/>
                  </a:lnTo>
                  <a:lnTo>
                    <a:pt x="884" y="280"/>
                  </a:lnTo>
                  <a:lnTo>
                    <a:pt x="874" y="275"/>
                  </a:lnTo>
                  <a:lnTo>
                    <a:pt x="865" y="274"/>
                  </a:lnTo>
                  <a:lnTo>
                    <a:pt x="856" y="270"/>
                  </a:lnTo>
                  <a:lnTo>
                    <a:pt x="845" y="270"/>
                  </a:lnTo>
                  <a:lnTo>
                    <a:pt x="833" y="270"/>
                  </a:lnTo>
                  <a:lnTo>
                    <a:pt x="822" y="274"/>
                  </a:lnTo>
                  <a:lnTo>
                    <a:pt x="813" y="277"/>
                  </a:lnTo>
                  <a:lnTo>
                    <a:pt x="804" y="280"/>
                  </a:lnTo>
                  <a:lnTo>
                    <a:pt x="796" y="286"/>
                  </a:lnTo>
                  <a:lnTo>
                    <a:pt x="790" y="292"/>
                  </a:lnTo>
                  <a:lnTo>
                    <a:pt x="784" y="298"/>
                  </a:lnTo>
                  <a:lnTo>
                    <a:pt x="778" y="306"/>
                  </a:lnTo>
                  <a:lnTo>
                    <a:pt x="773" y="315"/>
                  </a:lnTo>
                  <a:lnTo>
                    <a:pt x="770" y="322"/>
                  </a:lnTo>
                  <a:lnTo>
                    <a:pt x="767" y="332"/>
                  </a:lnTo>
                  <a:lnTo>
                    <a:pt x="764" y="342"/>
                  </a:lnTo>
                  <a:lnTo>
                    <a:pt x="763" y="352"/>
                  </a:lnTo>
                  <a:lnTo>
                    <a:pt x="761" y="362"/>
                  </a:lnTo>
                  <a:lnTo>
                    <a:pt x="760" y="382"/>
                  </a:lnTo>
                  <a:lnTo>
                    <a:pt x="388" y="382"/>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nvGrpSpPr>
            <xdr:cNvPr id="38" name="Group 37"/>
            <xdr:cNvGrpSpPr>
              <a:grpSpLocks/>
            </xdr:cNvGrpSpPr>
          </xdr:nvGrpSpPr>
          <xdr:grpSpPr bwMode="auto">
            <a:xfrm>
              <a:off x="4258199" y="4454351"/>
              <a:ext cx="568422" cy="78758"/>
              <a:chOff x="3326" y="2265"/>
              <a:chExt cx="498" cy="69"/>
            </a:xfrm>
            <a:solidFill>
              <a:schemeClr val="bg1"/>
            </a:solidFill>
          </xdr:grpSpPr>
          <xdr:sp macro="" textlink="">
            <xdr:nvSpPr>
              <xdr:cNvPr id="39" name="Freeform 38"/>
              <xdr:cNvSpPr>
                <a:spLocks/>
              </xdr:cNvSpPr>
            </xdr:nvSpPr>
            <xdr:spPr bwMode="auto">
              <a:xfrm>
                <a:off x="3326" y="2275"/>
                <a:ext cx="76" cy="59"/>
              </a:xfrm>
              <a:custGeom>
                <a:avLst/>
                <a:gdLst/>
                <a:ahLst/>
                <a:cxnLst>
                  <a:cxn ang="0">
                    <a:pos x="0" y="119"/>
                  </a:cxn>
                  <a:cxn ang="0">
                    <a:pos x="152" y="119"/>
                  </a:cxn>
                  <a:cxn ang="0">
                    <a:pos x="152" y="0"/>
                  </a:cxn>
                  <a:cxn ang="0">
                    <a:pos x="66" y="0"/>
                  </a:cxn>
                  <a:cxn ang="0">
                    <a:pos x="59" y="0"/>
                  </a:cxn>
                  <a:cxn ang="0">
                    <a:pos x="56" y="2"/>
                  </a:cxn>
                  <a:cxn ang="0">
                    <a:pos x="53" y="3"/>
                  </a:cxn>
                  <a:cxn ang="0">
                    <a:pos x="49" y="5"/>
                  </a:cxn>
                  <a:cxn ang="0">
                    <a:pos x="46" y="8"/>
                  </a:cxn>
                  <a:cxn ang="0">
                    <a:pos x="45" y="11"/>
                  </a:cxn>
                  <a:cxn ang="0">
                    <a:pos x="42" y="14"/>
                  </a:cxn>
                  <a:cxn ang="0">
                    <a:pos x="0" y="119"/>
                  </a:cxn>
                </a:cxnLst>
                <a:rect l="0" t="0" r="r" b="b"/>
                <a:pathLst>
                  <a:path w="152" h="119">
                    <a:moveTo>
                      <a:pt x="0" y="119"/>
                    </a:moveTo>
                    <a:lnTo>
                      <a:pt x="152" y="119"/>
                    </a:lnTo>
                    <a:lnTo>
                      <a:pt x="152" y="0"/>
                    </a:lnTo>
                    <a:lnTo>
                      <a:pt x="66" y="0"/>
                    </a:lnTo>
                    <a:lnTo>
                      <a:pt x="59" y="0"/>
                    </a:lnTo>
                    <a:lnTo>
                      <a:pt x="56" y="2"/>
                    </a:lnTo>
                    <a:lnTo>
                      <a:pt x="53" y="3"/>
                    </a:lnTo>
                    <a:lnTo>
                      <a:pt x="49" y="5"/>
                    </a:lnTo>
                    <a:lnTo>
                      <a:pt x="46" y="8"/>
                    </a:lnTo>
                    <a:lnTo>
                      <a:pt x="45" y="11"/>
                    </a:lnTo>
                    <a:lnTo>
                      <a:pt x="42" y="14"/>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40" name="Rectangle 39"/>
              <xdr:cNvSpPr>
                <a:spLocks noChangeArrowheads="1"/>
              </xdr:cNvSpPr>
            </xdr:nvSpPr>
            <xdr:spPr bwMode="auto">
              <a:xfrm>
                <a:off x="3418" y="2275"/>
                <a:ext cx="67"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41" name="Rectangle 40"/>
              <xdr:cNvSpPr>
                <a:spLocks noChangeArrowheads="1"/>
              </xdr:cNvSpPr>
            </xdr:nvSpPr>
            <xdr:spPr bwMode="auto">
              <a:xfrm>
                <a:off x="3578"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42" name="Rectangle 41"/>
              <xdr:cNvSpPr>
                <a:spLocks noChangeArrowheads="1"/>
              </xdr:cNvSpPr>
            </xdr:nvSpPr>
            <xdr:spPr bwMode="auto">
              <a:xfrm>
                <a:off x="3664"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43" name="Freeform 42"/>
              <xdr:cNvSpPr>
                <a:spLocks/>
              </xdr:cNvSpPr>
            </xdr:nvSpPr>
            <xdr:spPr bwMode="auto">
              <a:xfrm>
                <a:off x="3749" y="2265"/>
                <a:ext cx="75" cy="59"/>
              </a:xfrm>
              <a:custGeom>
                <a:avLst/>
                <a:gdLst/>
                <a:ahLst/>
                <a:cxnLst>
                  <a:cxn ang="0">
                    <a:pos x="0" y="119"/>
                  </a:cxn>
                  <a:cxn ang="0">
                    <a:pos x="150" y="119"/>
                  </a:cxn>
                  <a:cxn ang="0">
                    <a:pos x="108" y="0"/>
                  </a:cxn>
                  <a:cxn ang="0">
                    <a:pos x="0" y="0"/>
                  </a:cxn>
                  <a:cxn ang="0">
                    <a:pos x="0" y="119"/>
                  </a:cxn>
                </a:cxnLst>
                <a:rect l="0" t="0" r="r" b="b"/>
                <a:pathLst>
                  <a:path w="150" h="119">
                    <a:moveTo>
                      <a:pt x="0" y="119"/>
                    </a:moveTo>
                    <a:lnTo>
                      <a:pt x="150" y="119"/>
                    </a:lnTo>
                    <a:lnTo>
                      <a:pt x="108" y="0"/>
                    </a:lnTo>
                    <a:lnTo>
                      <a:pt x="0" y="0"/>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grpSp>
      <xdr:pic>
        <xdr:nvPicPr>
          <xdr:cNvPr id="35" name="Picture 3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36374" y="2538484"/>
            <a:ext cx="644081" cy="335184"/>
          </a:xfrm>
          <a:prstGeom prst="rect">
            <a:avLst/>
          </a:prstGeom>
        </xdr:spPr>
      </xdr:pic>
    </xdr:grpSp>
    <xdr:clientData/>
  </xdr:twoCellAnchor>
  <xdr:twoCellAnchor>
    <xdr:from>
      <xdr:col>17</xdr:col>
      <xdr:colOff>417408</xdr:colOff>
      <xdr:row>30</xdr:row>
      <xdr:rowOff>209578</xdr:rowOff>
    </xdr:from>
    <xdr:to>
      <xdr:col>19</xdr:col>
      <xdr:colOff>361841</xdr:colOff>
      <xdr:row>33</xdr:row>
      <xdr:rowOff>118489</xdr:rowOff>
    </xdr:to>
    <xdr:grpSp>
      <xdr:nvGrpSpPr>
        <xdr:cNvPr id="44" name="Group 43"/>
        <xdr:cNvGrpSpPr/>
      </xdr:nvGrpSpPr>
      <xdr:grpSpPr>
        <a:xfrm>
          <a:off x="15692044" y="7691033"/>
          <a:ext cx="1468433" cy="497729"/>
          <a:chOff x="5036374" y="2538484"/>
          <a:chExt cx="977804" cy="335184"/>
        </a:xfrm>
      </xdr:grpSpPr>
      <xdr:grpSp>
        <xdr:nvGrpSpPr>
          <xdr:cNvPr id="45" name="Group 44"/>
          <xdr:cNvGrpSpPr/>
        </xdr:nvGrpSpPr>
        <xdr:grpSpPr>
          <a:xfrm>
            <a:off x="5360891" y="2579367"/>
            <a:ext cx="653287" cy="257678"/>
            <a:chOff x="4245473" y="4438382"/>
            <a:chExt cx="616362" cy="243115"/>
          </a:xfrm>
        </xdr:grpSpPr>
        <xdr:sp macro="" textlink="">
          <xdr:nvSpPr>
            <xdr:cNvPr id="47" name="Freeform 46"/>
            <xdr:cNvSpPr>
              <a:spLocks/>
            </xdr:cNvSpPr>
          </xdr:nvSpPr>
          <xdr:spPr bwMode="auto">
            <a:xfrm>
              <a:off x="4691226" y="4605023"/>
              <a:ext cx="75333" cy="76474"/>
            </a:xfrm>
            <a:custGeom>
              <a:avLst/>
              <a:gdLst/>
              <a:ahLst/>
              <a:cxnLst>
                <a:cxn ang="0">
                  <a:pos x="72" y="0"/>
                </a:cxn>
                <a:cxn ang="0">
                  <a:pos x="86" y="3"/>
                </a:cxn>
                <a:cxn ang="0">
                  <a:pos x="98" y="8"/>
                </a:cxn>
                <a:cxn ang="0">
                  <a:pos x="109" y="15"/>
                </a:cxn>
                <a:cxn ang="0">
                  <a:pos x="116" y="24"/>
                </a:cxn>
                <a:cxn ang="0">
                  <a:pos x="124" y="35"/>
                </a:cxn>
                <a:cxn ang="0">
                  <a:pos x="130" y="47"/>
                </a:cxn>
                <a:cxn ang="0">
                  <a:pos x="132" y="60"/>
                </a:cxn>
                <a:cxn ang="0">
                  <a:pos x="132" y="73"/>
                </a:cxn>
                <a:cxn ang="0">
                  <a:pos x="132" y="79"/>
                </a:cxn>
                <a:cxn ang="0">
                  <a:pos x="127" y="92"/>
                </a:cxn>
                <a:cxn ang="0">
                  <a:pos x="121" y="104"/>
                </a:cxn>
                <a:cxn ang="0">
                  <a:pos x="113" y="113"/>
                </a:cxn>
                <a:cxn ang="0">
                  <a:pos x="103" y="121"/>
                </a:cxn>
                <a:cxn ang="0">
                  <a:pos x="92" y="127"/>
                </a:cxn>
                <a:cxn ang="0">
                  <a:pos x="80" y="132"/>
                </a:cxn>
                <a:cxn ang="0">
                  <a:pos x="66" y="133"/>
                </a:cxn>
                <a:cxn ang="0">
                  <a:pos x="52" y="132"/>
                </a:cxn>
                <a:cxn ang="0">
                  <a:pos x="40" y="127"/>
                </a:cxn>
                <a:cxn ang="0">
                  <a:pos x="29" y="121"/>
                </a:cxn>
                <a:cxn ang="0">
                  <a:pos x="18" y="113"/>
                </a:cxn>
                <a:cxn ang="0">
                  <a:pos x="11" y="104"/>
                </a:cxn>
                <a:cxn ang="0">
                  <a:pos x="5" y="92"/>
                </a:cxn>
                <a:cxn ang="0">
                  <a:pos x="2" y="79"/>
                </a:cxn>
                <a:cxn ang="0">
                  <a:pos x="0" y="66"/>
                </a:cxn>
                <a:cxn ang="0">
                  <a:pos x="2" y="53"/>
                </a:cxn>
                <a:cxn ang="0">
                  <a:pos x="5" y="41"/>
                </a:cxn>
                <a:cxn ang="0">
                  <a:pos x="11" y="29"/>
                </a:cxn>
                <a:cxn ang="0">
                  <a:pos x="18" y="20"/>
                </a:cxn>
                <a:cxn ang="0">
                  <a:pos x="29" y="12"/>
                </a:cxn>
                <a:cxn ang="0">
                  <a:pos x="40" y="4"/>
                </a:cxn>
                <a:cxn ang="0">
                  <a:pos x="52" y="1"/>
                </a:cxn>
                <a:cxn ang="0">
                  <a:pos x="66" y="0"/>
                </a:cxn>
              </a:cxnLst>
              <a:rect l="0" t="0" r="r" b="b"/>
              <a:pathLst>
                <a:path w="132" h="133">
                  <a:moveTo>
                    <a:pt x="66" y="0"/>
                  </a:moveTo>
                  <a:lnTo>
                    <a:pt x="72" y="0"/>
                  </a:lnTo>
                  <a:lnTo>
                    <a:pt x="80" y="1"/>
                  </a:lnTo>
                  <a:lnTo>
                    <a:pt x="86" y="3"/>
                  </a:lnTo>
                  <a:lnTo>
                    <a:pt x="92" y="4"/>
                  </a:lnTo>
                  <a:lnTo>
                    <a:pt x="98" y="8"/>
                  </a:lnTo>
                  <a:lnTo>
                    <a:pt x="103" y="12"/>
                  </a:lnTo>
                  <a:lnTo>
                    <a:pt x="109" y="15"/>
                  </a:lnTo>
                  <a:lnTo>
                    <a:pt x="113" y="20"/>
                  </a:lnTo>
                  <a:lnTo>
                    <a:pt x="116" y="24"/>
                  </a:lnTo>
                  <a:lnTo>
                    <a:pt x="121" y="29"/>
                  </a:lnTo>
                  <a:lnTo>
                    <a:pt x="124" y="35"/>
                  </a:lnTo>
                  <a:lnTo>
                    <a:pt x="127" y="41"/>
                  </a:lnTo>
                  <a:lnTo>
                    <a:pt x="130" y="47"/>
                  </a:lnTo>
                  <a:lnTo>
                    <a:pt x="132" y="53"/>
                  </a:lnTo>
                  <a:lnTo>
                    <a:pt x="132" y="60"/>
                  </a:lnTo>
                  <a:lnTo>
                    <a:pt x="132" y="66"/>
                  </a:lnTo>
                  <a:lnTo>
                    <a:pt x="132" y="73"/>
                  </a:lnTo>
                  <a:lnTo>
                    <a:pt x="132" y="76"/>
                  </a:lnTo>
                  <a:lnTo>
                    <a:pt x="132" y="79"/>
                  </a:lnTo>
                  <a:lnTo>
                    <a:pt x="130" y="86"/>
                  </a:lnTo>
                  <a:lnTo>
                    <a:pt x="127" y="92"/>
                  </a:lnTo>
                  <a:lnTo>
                    <a:pt x="124" y="98"/>
                  </a:lnTo>
                  <a:lnTo>
                    <a:pt x="121" y="104"/>
                  </a:lnTo>
                  <a:lnTo>
                    <a:pt x="116" y="109"/>
                  </a:lnTo>
                  <a:lnTo>
                    <a:pt x="113" y="113"/>
                  </a:lnTo>
                  <a:lnTo>
                    <a:pt x="109" y="118"/>
                  </a:lnTo>
                  <a:lnTo>
                    <a:pt x="103" y="121"/>
                  </a:lnTo>
                  <a:lnTo>
                    <a:pt x="98" y="125"/>
                  </a:lnTo>
                  <a:lnTo>
                    <a:pt x="92" y="127"/>
                  </a:lnTo>
                  <a:lnTo>
                    <a:pt x="86" y="130"/>
                  </a:lnTo>
                  <a:lnTo>
                    <a:pt x="80" y="132"/>
                  </a:lnTo>
                  <a:lnTo>
                    <a:pt x="72" y="133"/>
                  </a:lnTo>
                  <a:lnTo>
                    <a:pt x="66" y="133"/>
                  </a:lnTo>
                  <a:lnTo>
                    <a:pt x="60" y="133"/>
                  </a:lnTo>
                  <a:lnTo>
                    <a:pt x="52" y="132"/>
                  </a:lnTo>
                  <a:lnTo>
                    <a:pt x="46" y="130"/>
                  </a:lnTo>
                  <a:lnTo>
                    <a:pt x="40" y="127"/>
                  </a:lnTo>
                  <a:lnTo>
                    <a:pt x="34" y="125"/>
                  </a:lnTo>
                  <a:lnTo>
                    <a:pt x="29" y="121"/>
                  </a:lnTo>
                  <a:lnTo>
                    <a:pt x="23" y="118"/>
                  </a:lnTo>
                  <a:lnTo>
                    <a:pt x="18" y="113"/>
                  </a:lnTo>
                  <a:lnTo>
                    <a:pt x="15" y="109"/>
                  </a:lnTo>
                  <a:lnTo>
                    <a:pt x="11" y="104"/>
                  </a:lnTo>
                  <a:lnTo>
                    <a:pt x="8" y="98"/>
                  </a:lnTo>
                  <a:lnTo>
                    <a:pt x="5" y="92"/>
                  </a:lnTo>
                  <a:lnTo>
                    <a:pt x="3" y="86"/>
                  </a:lnTo>
                  <a:lnTo>
                    <a:pt x="2" y="79"/>
                  </a:lnTo>
                  <a:lnTo>
                    <a:pt x="0" y="73"/>
                  </a:lnTo>
                  <a:lnTo>
                    <a:pt x="0" y="66"/>
                  </a:lnTo>
                  <a:lnTo>
                    <a:pt x="0" y="60"/>
                  </a:lnTo>
                  <a:lnTo>
                    <a:pt x="2" y="53"/>
                  </a:lnTo>
                  <a:lnTo>
                    <a:pt x="3" y="47"/>
                  </a:lnTo>
                  <a:lnTo>
                    <a:pt x="5" y="41"/>
                  </a:lnTo>
                  <a:lnTo>
                    <a:pt x="8" y="35"/>
                  </a:lnTo>
                  <a:lnTo>
                    <a:pt x="11" y="29"/>
                  </a:lnTo>
                  <a:lnTo>
                    <a:pt x="15" y="24"/>
                  </a:lnTo>
                  <a:lnTo>
                    <a:pt x="18" y="20"/>
                  </a:lnTo>
                  <a:lnTo>
                    <a:pt x="25" y="15"/>
                  </a:lnTo>
                  <a:lnTo>
                    <a:pt x="29" y="12"/>
                  </a:lnTo>
                  <a:lnTo>
                    <a:pt x="34" y="8"/>
                  </a:lnTo>
                  <a:lnTo>
                    <a:pt x="40" y="4"/>
                  </a:lnTo>
                  <a:lnTo>
                    <a:pt x="46" y="3"/>
                  </a:lnTo>
                  <a:lnTo>
                    <a:pt x="52" y="1"/>
                  </a:lnTo>
                  <a:lnTo>
                    <a:pt x="60" y="0"/>
                  </a:lnTo>
                  <a:lnTo>
                    <a:pt x="66" y="0"/>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48" name="Freeform 47"/>
            <xdr:cNvSpPr>
              <a:spLocks/>
            </xdr:cNvSpPr>
          </xdr:nvSpPr>
          <xdr:spPr bwMode="auto">
            <a:xfrm>
              <a:off x="4245473" y="4438382"/>
              <a:ext cx="616362" cy="218010"/>
            </a:xfrm>
            <a:custGeom>
              <a:avLst/>
              <a:gdLst/>
              <a:ahLst/>
              <a:cxnLst>
                <a:cxn ang="0">
                  <a:pos x="386" y="362"/>
                </a:cxn>
                <a:cxn ang="0">
                  <a:pos x="383" y="341"/>
                </a:cxn>
                <a:cxn ang="0">
                  <a:pos x="377" y="322"/>
                </a:cxn>
                <a:cxn ang="0">
                  <a:pos x="369" y="306"/>
                </a:cxn>
                <a:cxn ang="0">
                  <a:pos x="357" y="292"/>
                </a:cxn>
                <a:cxn ang="0">
                  <a:pos x="342" y="281"/>
                </a:cxn>
                <a:cxn ang="0">
                  <a:pos x="323" y="274"/>
                </a:cxn>
                <a:cxn ang="0">
                  <a:pos x="300" y="272"/>
                </a:cxn>
                <a:cxn ang="0">
                  <a:pos x="280" y="274"/>
                </a:cxn>
                <a:cxn ang="0">
                  <a:pos x="264" y="280"/>
                </a:cxn>
                <a:cxn ang="0">
                  <a:pos x="250" y="289"/>
                </a:cxn>
                <a:cxn ang="0">
                  <a:pos x="238" y="301"/>
                </a:cxn>
                <a:cxn ang="0">
                  <a:pos x="228" y="316"/>
                </a:cxn>
                <a:cxn ang="0">
                  <a:pos x="221" y="333"/>
                </a:cxn>
                <a:cxn ang="0">
                  <a:pos x="216" y="350"/>
                </a:cxn>
                <a:cxn ang="0">
                  <a:pos x="215" y="370"/>
                </a:cxn>
                <a:cxn ang="0">
                  <a:pos x="20" y="382"/>
                </a:cxn>
                <a:cxn ang="0">
                  <a:pos x="8" y="381"/>
                </a:cxn>
                <a:cxn ang="0">
                  <a:pos x="3" y="376"/>
                </a:cxn>
                <a:cxn ang="0">
                  <a:pos x="0" y="368"/>
                </a:cxn>
                <a:cxn ang="0">
                  <a:pos x="0" y="179"/>
                </a:cxn>
                <a:cxn ang="0">
                  <a:pos x="65" y="18"/>
                </a:cxn>
                <a:cxn ang="0">
                  <a:pos x="68" y="13"/>
                </a:cxn>
                <a:cxn ang="0">
                  <a:pos x="75" y="6"/>
                </a:cxn>
                <a:cxn ang="0">
                  <a:pos x="80" y="3"/>
                </a:cxn>
                <a:cxn ang="0">
                  <a:pos x="92" y="1"/>
                </a:cxn>
                <a:cxn ang="0">
                  <a:pos x="1015" y="0"/>
                </a:cxn>
                <a:cxn ang="0">
                  <a:pos x="1026" y="12"/>
                </a:cxn>
                <a:cxn ang="0">
                  <a:pos x="1041" y="27"/>
                </a:cxn>
                <a:cxn ang="0">
                  <a:pos x="1049" y="38"/>
                </a:cxn>
                <a:cxn ang="0">
                  <a:pos x="1050" y="45"/>
                </a:cxn>
                <a:cxn ang="0">
                  <a:pos x="1047" y="49"/>
                </a:cxn>
                <a:cxn ang="0">
                  <a:pos x="1035" y="53"/>
                </a:cxn>
                <a:cxn ang="0">
                  <a:pos x="1078" y="171"/>
                </a:cxn>
                <a:cxn ang="0">
                  <a:pos x="1080" y="182"/>
                </a:cxn>
                <a:cxn ang="0">
                  <a:pos x="1081" y="359"/>
                </a:cxn>
                <a:cxn ang="0">
                  <a:pos x="1080" y="375"/>
                </a:cxn>
                <a:cxn ang="0">
                  <a:pos x="1076" y="379"/>
                </a:cxn>
                <a:cxn ang="0">
                  <a:pos x="1070" y="382"/>
                </a:cxn>
                <a:cxn ang="0">
                  <a:pos x="1060" y="382"/>
                </a:cxn>
                <a:cxn ang="0">
                  <a:pos x="937" y="375"/>
                </a:cxn>
                <a:cxn ang="0">
                  <a:pos x="934" y="355"/>
                </a:cxn>
                <a:cxn ang="0">
                  <a:pos x="930" y="336"/>
                </a:cxn>
                <a:cxn ang="0">
                  <a:pos x="922" y="318"/>
                </a:cxn>
                <a:cxn ang="0">
                  <a:pos x="913" y="303"/>
                </a:cxn>
                <a:cxn ang="0">
                  <a:pos x="899" y="289"/>
                </a:cxn>
                <a:cxn ang="0">
                  <a:pos x="884" y="280"/>
                </a:cxn>
                <a:cxn ang="0">
                  <a:pos x="865" y="274"/>
                </a:cxn>
                <a:cxn ang="0">
                  <a:pos x="845" y="270"/>
                </a:cxn>
                <a:cxn ang="0">
                  <a:pos x="822" y="274"/>
                </a:cxn>
                <a:cxn ang="0">
                  <a:pos x="804" y="280"/>
                </a:cxn>
                <a:cxn ang="0">
                  <a:pos x="790" y="292"/>
                </a:cxn>
                <a:cxn ang="0">
                  <a:pos x="778" y="306"/>
                </a:cxn>
                <a:cxn ang="0">
                  <a:pos x="770" y="322"/>
                </a:cxn>
                <a:cxn ang="0">
                  <a:pos x="764" y="342"/>
                </a:cxn>
                <a:cxn ang="0">
                  <a:pos x="761" y="362"/>
                </a:cxn>
                <a:cxn ang="0">
                  <a:pos x="388" y="382"/>
                </a:cxn>
              </a:cxnLst>
              <a:rect l="0" t="0" r="r" b="b"/>
              <a:pathLst>
                <a:path w="1081" h="382">
                  <a:moveTo>
                    <a:pt x="388" y="382"/>
                  </a:moveTo>
                  <a:lnTo>
                    <a:pt x="386" y="362"/>
                  </a:lnTo>
                  <a:lnTo>
                    <a:pt x="385" y="352"/>
                  </a:lnTo>
                  <a:lnTo>
                    <a:pt x="383" y="341"/>
                  </a:lnTo>
                  <a:lnTo>
                    <a:pt x="380" y="332"/>
                  </a:lnTo>
                  <a:lnTo>
                    <a:pt x="377" y="322"/>
                  </a:lnTo>
                  <a:lnTo>
                    <a:pt x="374" y="313"/>
                  </a:lnTo>
                  <a:lnTo>
                    <a:pt x="369" y="306"/>
                  </a:lnTo>
                  <a:lnTo>
                    <a:pt x="363" y="298"/>
                  </a:lnTo>
                  <a:lnTo>
                    <a:pt x="357" y="292"/>
                  </a:lnTo>
                  <a:lnTo>
                    <a:pt x="351" y="286"/>
                  </a:lnTo>
                  <a:lnTo>
                    <a:pt x="342" y="281"/>
                  </a:lnTo>
                  <a:lnTo>
                    <a:pt x="334" y="277"/>
                  </a:lnTo>
                  <a:lnTo>
                    <a:pt x="323" y="274"/>
                  </a:lnTo>
                  <a:lnTo>
                    <a:pt x="313" y="272"/>
                  </a:lnTo>
                  <a:lnTo>
                    <a:pt x="300" y="272"/>
                  </a:lnTo>
                  <a:lnTo>
                    <a:pt x="291" y="272"/>
                  </a:lnTo>
                  <a:lnTo>
                    <a:pt x="280" y="274"/>
                  </a:lnTo>
                  <a:lnTo>
                    <a:pt x="273" y="277"/>
                  </a:lnTo>
                  <a:lnTo>
                    <a:pt x="264" y="280"/>
                  </a:lnTo>
                  <a:lnTo>
                    <a:pt x="256" y="284"/>
                  </a:lnTo>
                  <a:lnTo>
                    <a:pt x="250" y="289"/>
                  </a:lnTo>
                  <a:lnTo>
                    <a:pt x="244" y="295"/>
                  </a:lnTo>
                  <a:lnTo>
                    <a:pt x="238" y="301"/>
                  </a:lnTo>
                  <a:lnTo>
                    <a:pt x="231" y="309"/>
                  </a:lnTo>
                  <a:lnTo>
                    <a:pt x="228" y="316"/>
                  </a:lnTo>
                  <a:lnTo>
                    <a:pt x="224" y="324"/>
                  </a:lnTo>
                  <a:lnTo>
                    <a:pt x="221" y="333"/>
                  </a:lnTo>
                  <a:lnTo>
                    <a:pt x="218" y="342"/>
                  </a:lnTo>
                  <a:lnTo>
                    <a:pt x="216" y="350"/>
                  </a:lnTo>
                  <a:lnTo>
                    <a:pt x="215" y="359"/>
                  </a:lnTo>
                  <a:lnTo>
                    <a:pt x="215" y="370"/>
                  </a:lnTo>
                  <a:lnTo>
                    <a:pt x="215" y="382"/>
                  </a:lnTo>
                  <a:lnTo>
                    <a:pt x="20" y="382"/>
                  </a:lnTo>
                  <a:lnTo>
                    <a:pt x="11" y="382"/>
                  </a:lnTo>
                  <a:lnTo>
                    <a:pt x="8" y="381"/>
                  </a:lnTo>
                  <a:lnTo>
                    <a:pt x="5" y="379"/>
                  </a:lnTo>
                  <a:lnTo>
                    <a:pt x="3" y="376"/>
                  </a:lnTo>
                  <a:lnTo>
                    <a:pt x="2" y="373"/>
                  </a:lnTo>
                  <a:lnTo>
                    <a:pt x="0" y="368"/>
                  </a:lnTo>
                  <a:lnTo>
                    <a:pt x="0" y="364"/>
                  </a:lnTo>
                  <a:lnTo>
                    <a:pt x="0" y="179"/>
                  </a:lnTo>
                  <a:lnTo>
                    <a:pt x="61" y="22"/>
                  </a:lnTo>
                  <a:lnTo>
                    <a:pt x="65" y="18"/>
                  </a:lnTo>
                  <a:lnTo>
                    <a:pt x="66" y="15"/>
                  </a:lnTo>
                  <a:lnTo>
                    <a:pt x="68" y="13"/>
                  </a:lnTo>
                  <a:lnTo>
                    <a:pt x="71" y="9"/>
                  </a:lnTo>
                  <a:lnTo>
                    <a:pt x="75" y="6"/>
                  </a:lnTo>
                  <a:lnTo>
                    <a:pt x="78" y="4"/>
                  </a:lnTo>
                  <a:lnTo>
                    <a:pt x="80" y="3"/>
                  </a:lnTo>
                  <a:lnTo>
                    <a:pt x="86" y="1"/>
                  </a:lnTo>
                  <a:lnTo>
                    <a:pt x="92" y="1"/>
                  </a:lnTo>
                  <a:lnTo>
                    <a:pt x="98" y="0"/>
                  </a:lnTo>
                  <a:lnTo>
                    <a:pt x="1015" y="0"/>
                  </a:lnTo>
                  <a:lnTo>
                    <a:pt x="1015" y="4"/>
                  </a:lnTo>
                  <a:lnTo>
                    <a:pt x="1026" y="12"/>
                  </a:lnTo>
                  <a:lnTo>
                    <a:pt x="1037" y="21"/>
                  </a:lnTo>
                  <a:lnTo>
                    <a:pt x="1041" y="27"/>
                  </a:lnTo>
                  <a:lnTo>
                    <a:pt x="1046" y="32"/>
                  </a:lnTo>
                  <a:lnTo>
                    <a:pt x="1049" y="38"/>
                  </a:lnTo>
                  <a:lnTo>
                    <a:pt x="1050" y="44"/>
                  </a:lnTo>
                  <a:lnTo>
                    <a:pt x="1050" y="45"/>
                  </a:lnTo>
                  <a:lnTo>
                    <a:pt x="1049" y="49"/>
                  </a:lnTo>
                  <a:lnTo>
                    <a:pt x="1047" y="49"/>
                  </a:lnTo>
                  <a:lnTo>
                    <a:pt x="1044" y="50"/>
                  </a:lnTo>
                  <a:lnTo>
                    <a:pt x="1035" y="53"/>
                  </a:lnTo>
                  <a:lnTo>
                    <a:pt x="1075" y="163"/>
                  </a:lnTo>
                  <a:lnTo>
                    <a:pt x="1078" y="171"/>
                  </a:lnTo>
                  <a:lnTo>
                    <a:pt x="1080" y="176"/>
                  </a:lnTo>
                  <a:lnTo>
                    <a:pt x="1080" y="182"/>
                  </a:lnTo>
                  <a:lnTo>
                    <a:pt x="1081" y="192"/>
                  </a:lnTo>
                  <a:lnTo>
                    <a:pt x="1081" y="359"/>
                  </a:lnTo>
                  <a:lnTo>
                    <a:pt x="1081" y="370"/>
                  </a:lnTo>
                  <a:lnTo>
                    <a:pt x="1080" y="375"/>
                  </a:lnTo>
                  <a:lnTo>
                    <a:pt x="1078" y="378"/>
                  </a:lnTo>
                  <a:lnTo>
                    <a:pt x="1076" y="379"/>
                  </a:lnTo>
                  <a:lnTo>
                    <a:pt x="1073" y="381"/>
                  </a:lnTo>
                  <a:lnTo>
                    <a:pt x="1070" y="382"/>
                  </a:lnTo>
                  <a:lnTo>
                    <a:pt x="1067" y="382"/>
                  </a:lnTo>
                  <a:lnTo>
                    <a:pt x="1060" y="382"/>
                  </a:lnTo>
                  <a:lnTo>
                    <a:pt x="936" y="382"/>
                  </a:lnTo>
                  <a:lnTo>
                    <a:pt x="937" y="375"/>
                  </a:lnTo>
                  <a:lnTo>
                    <a:pt x="936" y="364"/>
                  </a:lnTo>
                  <a:lnTo>
                    <a:pt x="934" y="355"/>
                  </a:lnTo>
                  <a:lnTo>
                    <a:pt x="933" y="345"/>
                  </a:lnTo>
                  <a:lnTo>
                    <a:pt x="930" y="336"/>
                  </a:lnTo>
                  <a:lnTo>
                    <a:pt x="926" y="327"/>
                  </a:lnTo>
                  <a:lnTo>
                    <a:pt x="922" y="318"/>
                  </a:lnTo>
                  <a:lnTo>
                    <a:pt x="917" y="310"/>
                  </a:lnTo>
                  <a:lnTo>
                    <a:pt x="913" y="303"/>
                  </a:lnTo>
                  <a:lnTo>
                    <a:pt x="907" y="296"/>
                  </a:lnTo>
                  <a:lnTo>
                    <a:pt x="899" y="289"/>
                  </a:lnTo>
                  <a:lnTo>
                    <a:pt x="891" y="284"/>
                  </a:lnTo>
                  <a:lnTo>
                    <a:pt x="884" y="280"/>
                  </a:lnTo>
                  <a:lnTo>
                    <a:pt x="874" y="275"/>
                  </a:lnTo>
                  <a:lnTo>
                    <a:pt x="865" y="274"/>
                  </a:lnTo>
                  <a:lnTo>
                    <a:pt x="856" y="270"/>
                  </a:lnTo>
                  <a:lnTo>
                    <a:pt x="845" y="270"/>
                  </a:lnTo>
                  <a:lnTo>
                    <a:pt x="833" y="270"/>
                  </a:lnTo>
                  <a:lnTo>
                    <a:pt x="822" y="274"/>
                  </a:lnTo>
                  <a:lnTo>
                    <a:pt x="813" y="277"/>
                  </a:lnTo>
                  <a:lnTo>
                    <a:pt x="804" y="280"/>
                  </a:lnTo>
                  <a:lnTo>
                    <a:pt x="796" y="286"/>
                  </a:lnTo>
                  <a:lnTo>
                    <a:pt x="790" y="292"/>
                  </a:lnTo>
                  <a:lnTo>
                    <a:pt x="784" y="298"/>
                  </a:lnTo>
                  <a:lnTo>
                    <a:pt x="778" y="306"/>
                  </a:lnTo>
                  <a:lnTo>
                    <a:pt x="773" y="315"/>
                  </a:lnTo>
                  <a:lnTo>
                    <a:pt x="770" y="322"/>
                  </a:lnTo>
                  <a:lnTo>
                    <a:pt x="767" y="332"/>
                  </a:lnTo>
                  <a:lnTo>
                    <a:pt x="764" y="342"/>
                  </a:lnTo>
                  <a:lnTo>
                    <a:pt x="763" y="352"/>
                  </a:lnTo>
                  <a:lnTo>
                    <a:pt x="761" y="362"/>
                  </a:lnTo>
                  <a:lnTo>
                    <a:pt x="760" y="382"/>
                  </a:lnTo>
                  <a:lnTo>
                    <a:pt x="388" y="382"/>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nvGrpSpPr>
            <xdr:cNvPr id="49" name="Group 48"/>
            <xdr:cNvGrpSpPr>
              <a:grpSpLocks/>
            </xdr:cNvGrpSpPr>
          </xdr:nvGrpSpPr>
          <xdr:grpSpPr bwMode="auto">
            <a:xfrm>
              <a:off x="4258199" y="4454351"/>
              <a:ext cx="568422" cy="78758"/>
              <a:chOff x="3326" y="2265"/>
              <a:chExt cx="498" cy="69"/>
            </a:xfrm>
            <a:solidFill>
              <a:schemeClr val="bg1"/>
            </a:solidFill>
          </xdr:grpSpPr>
          <xdr:sp macro="" textlink="">
            <xdr:nvSpPr>
              <xdr:cNvPr id="50" name="Freeform 49"/>
              <xdr:cNvSpPr>
                <a:spLocks/>
              </xdr:cNvSpPr>
            </xdr:nvSpPr>
            <xdr:spPr bwMode="auto">
              <a:xfrm>
                <a:off x="3326" y="2275"/>
                <a:ext cx="76" cy="59"/>
              </a:xfrm>
              <a:custGeom>
                <a:avLst/>
                <a:gdLst/>
                <a:ahLst/>
                <a:cxnLst>
                  <a:cxn ang="0">
                    <a:pos x="0" y="119"/>
                  </a:cxn>
                  <a:cxn ang="0">
                    <a:pos x="152" y="119"/>
                  </a:cxn>
                  <a:cxn ang="0">
                    <a:pos x="152" y="0"/>
                  </a:cxn>
                  <a:cxn ang="0">
                    <a:pos x="66" y="0"/>
                  </a:cxn>
                  <a:cxn ang="0">
                    <a:pos x="59" y="0"/>
                  </a:cxn>
                  <a:cxn ang="0">
                    <a:pos x="56" y="2"/>
                  </a:cxn>
                  <a:cxn ang="0">
                    <a:pos x="53" y="3"/>
                  </a:cxn>
                  <a:cxn ang="0">
                    <a:pos x="49" y="5"/>
                  </a:cxn>
                  <a:cxn ang="0">
                    <a:pos x="46" y="8"/>
                  </a:cxn>
                  <a:cxn ang="0">
                    <a:pos x="45" y="11"/>
                  </a:cxn>
                  <a:cxn ang="0">
                    <a:pos x="42" y="14"/>
                  </a:cxn>
                  <a:cxn ang="0">
                    <a:pos x="0" y="119"/>
                  </a:cxn>
                </a:cxnLst>
                <a:rect l="0" t="0" r="r" b="b"/>
                <a:pathLst>
                  <a:path w="152" h="119">
                    <a:moveTo>
                      <a:pt x="0" y="119"/>
                    </a:moveTo>
                    <a:lnTo>
                      <a:pt x="152" y="119"/>
                    </a:lnTo>
                    <a:lnTo>
                      <a:pt x="152" y="0"/>
                    </a:lnTo>
                    <a:lnTo>
                      <a:pt x="66" y="0"/>
                    </a:lnTo>
                    <a:lnTo>
                      <a:pt x="59" y="0"/>
                    </a:lnTo>
                    <a:lnTo>
                      <a:pt x="56" y="2"/>
                    </a:lnTo>
                    <a:lnTo>
                      <a:pt x="53" y="3"/>
                    </a:lnTo>
                    <a:lnTo>
                      <a:pt x="49" y="5"/>
                    </a:lnTo>
                    <a:lnTo>
                      <a:pt x="46" y="8"/>
                    </a:lnTo>
                    <a:lnTo>
                      <a:pt x="45" y="11"/>
                    </a:lnTo>
                    <a:lnTo>
                      <a:pt x="42" y="14"/>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51" name="Rectangle 50"/>
              <xdr:cNvSpPr>
                <a:spLocks noChangeArrowheads="1"/>
              </xdr:cNvSpPr>
            </xdr:nvSpPr>
            <xdr:spPr bwMode="auto">
              <a:xfrm>
                <a:off x="3418" y="2275"/>
                <a:ext cx="67"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52" name="Rectangle 51"/>
              <xdr:cNvSpPr>
                <a:spLocks noChangeArrowheads="1"/>
              </xdr:cNvSpPr>
            </xdr:nvSpPr>
            <xdr:spPr bwMode="auto">
              <a:xfrm>
                <a:off x="3578"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53" name="Rectangle 52"/>
              <xdr:cNvSpPr>
                <a:spLocks noChangeArrowheads="1"/>
              </xdr:cNvSpPr>
            </xdr:nvSpPr>
            <xdr:spPr bwMode="auto">
              <a:xfrm>
                <a:off x="3664"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54" name="Freeform 53"/>
              <xdr:cNvSpPr>
                <a:spLocks/>
              </xdr:cNvSpPr>
            </xdr:nvSpPr>
            <xdr:spPr bwMode="auto">
              <a:xfrm>
                <a:off x="3749" y="2265"/>
                <a:ext cx="75" cy="59"/>
              </a:xfrm>
              <a:custGeom>
                <a:avLst/>
                <a:gdLst/>
                <a:ahLst/>
                <a:cxnLst>
                  <a:cxn ang="0">
                    <a:pos x="0" y="119"/>
                  </a:cxn>
                  <a:cxn ang="0">
                    <a:pos x="150" y="119"/>
                  </a:cxn>
                  <a:cxn ang="0">
                    <a:pos x="108" y="0"/>
                  </a:cxn>
                  <a:cxn ang="0">
                    <a:pos x="0" y="0"/>
                  </a:cxn>
                  <a:cxn ang="0">
                    <a:pos x="0" y="119"/>
                  </a:cxn>
                </a:cxnLst>
                <a:rect l="0" t="0" r="r" b="b"/>
                <a:pathLst>
                  <a:path w="150" h="119">
                    <a:moveTo>
                      <a:pt x="0" y="119"/>
                    </a:moveTo>
                    <a:lnTo>
                      <a:pt x="150" y="119"/>
                    </a:lnTo>
                    <a:lnTo>
                      <a:pt x="108" y="0"/>
                    </a:lnTo>
                    <a:lnTo>
                      <a:pt x="0" y="0"/>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grpSp>
      <xdr:pic>
        <xdr:nvPicPr>
          <xdr:cNvPr id="46" name="Picture 4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36374" y="2538484"/>
            <a:ext cx="644081" cy="33518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757644</xdr:colOff>
      <xdr:row>6</xdr:row>
      <xdr:rowOff>76200</xdr:rowOff>
    </xdr:from>
    <xdr:to>
      <xdr:col>19</xdr:col>
      <xdr:colOff>228600</xdr:colOff>
      <xdr:row>32</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742950</xdr:colOff>
      <xdr:row>36</xdr:row>
      <xdr:rowOff>76200</xdr:rowOff>
    </xdr:from>
    <xdr:to>
      <xdr:col>19</xdr:col>
      <xdr:colOff>223058</xdr:colOff>
      <xdr:row>64</xdr:row>
      <xdr:rowOff>153489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643198</xdr:colOff>
      <xdr:row>7</xdr:row>
      <xdr:rowOff>139933</xdr:rowOff>
    </xdr:from>
    <xdr:to>
      <xdr:col>18</xdr:col>
      <xdr:colOff>158289</xdr:colOff>
      <xdr:row>10</xdr:row>
      <xdr:rowOff>134365</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16248" y="1568683"/>
          <a:ext cx="1000991" cy="508782"/>
        </a:xfrm>
        <a:prstGeom prst="rect">
          <a:avLst/>
        </a:prstGeom>
      </xdr:spPr>
    </xdr:pic>
    <xdr:clientData/>
  </xdr:twoCellAnchor>
  <xdr:twoCellAnchor>
    <xdr:from>
      <xdr:col>16</xdr:col>
      <xdr:colOff>560619</xdr:colOff>
      <xdr:row>38</xdr:row>
      <xdr:rowOff>58239</xdr:rowOff>
    </xdr:from>
    <xdr:to>
      <xdr:col>18</xdr:col>
      <xdr:colOff>451263</xdr:colOff>
      <xdr:row>41</xdr:row>
      <xdr:rowOff>21773</xdr:rowOff>
    </xdr:to>
    <xdr:grpSp>
      <xdr:nvGrpSpPr>
        <xdr:cNvPr id="6" name="Group 5"/>
        <xdr:cNvGrpSpPr/>
      </xdr:nvGrpSpPr>
      <xdr:grpSpPr>
        <a:xfrm>
          <a:off x="13029710" y="6379375"/>
          <a:ext cx="1310735" cy="431125"/>
          <a:chOff x="5036374" y="2538484"/>
          <a:chExt cx="977804" cy="335184"/>
        </a:xfrm>
      </xdr:grpSpPr>
      <xdr:grpSp>
        <xdr:nvGrpSpPr>
          <xdr:cNvPr id="7" name="Group 6"/>
          <xdr:cNvGrpSpPr/>
        </xdr:nvGrpSpPr>
        <xdr:grpSpPr>
          <a:xfrm>
            <a:off x="5360891" y="2579367"/>
            <a:ext cx="653287" cy="257678"/>
            <a:chOff x="4245473" y="4438382"/>
            <a:chExt cx="616362" cy="243115"/>
          </a:xfrm>
        </xdr:grpSpPr>
        <xdr:sp macro="" textlink="">
          <xdr:nvSpPr>
            <xdr:cNvPr id="9" name="Freeform 8"/>
            <xdr:cNvSpPr>
              <a:spLocks/>
            </xdr:cNvSpPr>
          </xdr:nvSpPr>
          <xdr:spPr bwMode="auto">
            <a:xfrm>
              <a:off x="4691226" y="4605023"/>
              <a:ext cx="75333" cy="76474"/>
            </a:xfrm>
            <a:custGeom>
              <a:avLst/>
              <a:gdLst/>
              <a:ahLst/>
              <a:cxnLst>
                <a:cxn ang="0">
                  <a:pos x="72" y="0"/>
                </a:cxn>
                <a:cxn ang="0">
                  <a:pos x="86" y="3"/>
                </a:cxn>
                <a:cxn ang="0">
                  <a:pos x="98" y="8"/>
                </a:cxn>
                <a:cxn ang="0">
                  <a:pos x="109" y="15"/>
                </a:cxn>
                <a:cxn ang="0">
                  <a:pos x="116" y="24"/>
                </a:cxn>
                <a:cxn ang="0">
                  <a:pos x="124" y="35"/>
                </a:cxn>
                <a:cxn ang="0">
                  <a:pos x="130" y="47"/>
                </a:cxn>
                <a:cxn ang="0">
                  <a:pos x="132" y="60"/>
                </a:cxn>
                <a:cxn ang="0">
                  <a:pos x="132" y="73"/>
                </a:cxn>
                <a:cxn ang="0">
                  <a:pos x="132" y="79"/>
                </a:cxn>
                <a:cxn ang="0">
                  <a:pos x="127" y="92"/>
                </a:cxn>
                <a:cxn ang="0">
                  <a:pos x="121" y="104"/>
                </a:cxn>
                <a:cxn ang="0">
                  <a:pos x="113" y="113"/>
                </a:cxn>
                <a:cxn ang="0">
                  <a:pos x="103" y="121"/>
                </a:cxn>
                <a:cxn ang="0">
                  <a:pos x="92" y="127"/>
                </a:cxn>
                <a:cxn ang="0">
                  <a:pos x="80" y="132"/>
                </a:cxn>
                <a:cxn ang="0">
                  <a:pos x="66" y="133"/>
                </a:cxn>
                <a:cxn ang="0">
                  <a:pos x="52" y="132"/>
                </a:cxn>
                <a:cxn ang="0">
                  <a:pos x="40" y="127"/>
                </a:cxn>
                <a:cxn ang="0">
                  <a:pos x="29" y="121"/>
                </a:cxn>
                <a:cxn ang="0">
                  <a:pos x="18" y="113"/>
                </a:cxn>
                <a:cxn ang="0">
                  <a:pos x="11" y="104"/>
                </a:cxn>
                <a:cxn ang="0">
                  <a:pos x="5" y="92"/>
                </a:cxn>
                <a:cxn ang="0">
                  <a:pos x="2" y="79"/>
                </a:cxn>
                <a:cxn ang="0">
                  <a:pos x="0" y="66"/>
                </a:cxn>
                <a:cxn ang="0">
                  <a:pos x="2" y="53"/>
                </a:cxn>
                <a:cxn ang="0">
                  <a:pos x="5" y="41"/>
                </a:cxn>
                <a:cxn ang="0">
                  <a:pos x="11" y="29"/>
                </a:cxn>
                <a:cxn ang="0">
                  <a:pos x="18" y="20"/>
                </a:cxn>
                <a:cxn ang="0">
                  <a:pos x="29" y="12"/>
                </a:cxn>
                <a:cxn ang="0">
                  <a:pos x="40" y="4"/>
                </a:cxn>
                <a:cxn ang="0">
                  <a:pos x="52" y="1"/>
                </a:cxn>
                <a:cxn ang="0">
                  <a:pos x="66" y="0"/>
                </a:cxn>
              </a:cxnLst>
              <a:rect l="0" t="0" r="r" b="b"/>
              <a:pathLst>
                <a:path w="132" h="133">
                  <a:moveTo>
                    <a:pt x="66" y="0"/>
                  </a:moveTo>
                  <a:lnTo>
                    <a:pt x="72" y="0"/>
                  </a:lnTo>
                  <a:lnTo>
                    <a:pt x="80" y="1"/>
                  </a:lnTo>
                  <a:lnTo>
                    <a:pt x="86" y="3"/>
                  </a:lnTo>
                  <a:lnTo>
                    <a:pt x="92" y="4"/>
                  </a:lnTo>
                  <a:lnTo>
                    <a:pt x="98" y="8"/>
                  </a:lnTo>
                  <a:lnTo>
                    <a:pt x="103" y="12"/>
                  </a:lnTo>
                  <a:lnTo>
                    <a:pt x="109" y="15"/>
                  </a:lnTo>
                  <a:lnTo>
                    <a:pt x="113" y="20"/>
                  </a:lnTo>
                  <a:lnTo>
                    <a:pt x="116" y="24"/>
                  </a:lnTo>
                  <a:lnTo>
                    <a:pt x="121" y="29"/>
                  </a:lnTo>
                  <a:lnTo>
                    <a:pt x="124" y="35"/>
                  </a:lnTo>
                  <a:lnTo>
                    <a:pt x="127" y="41"/>
                  </a:lnTo>
                  <a:lnTo>
                    <a:pt x="130" y="47"/>
                  </a:lnTo>
                  <a:lnTo>
                    <a:pt x="132" y="53"/>
                  </a:lnTo>
                  <a:lnTo>
                    <a:pt x="132" y="60"/>
                  </a:lnTo>
                  <a:lnTo>
                    <a:pt x="132" y="66"/>
                  </a:lnTo>
                  <a:lnTo>
                    <a:pt x="132" y="73"/>
                  </a:lnTo>
                  <a:lnTo>
                    <a:pt x="132" y="76"/>
                  </a:lnTo>
                  <a:lnTo>
                    <a:pt x="132" y="79"/>
                  </a:lnTo>
                  <a:lnTo>
                    <a:pt x="130" y="86"/>
                  </a:lnTo>
                  <a:lnTo>
                    <a:pt x="127" y="92"/>
                  </a:lnTo>
                  <a:lnTo>
                    <a:pt x="124" y="98"/>
                  </a:lnTo>
                  <a:lnTo>
                    <a:pt x="121" y="104"/>
                  </a:lnTo>
                  <a:lnTo>
                    <a:pt x="116" y="109"/>
                  </a:lnTo>
                  <a:lnTo>
                    <a:pt x="113" y="113"/>
                  </a:lnTo>
                  <a:lnTo>
                    <a:pt x="109" y="118"/>
                  </a:lnTo>
                  <a:lnTo>
                    <a:pt x="103" y="121"/>
                  </a:lnTo>
                  <a:lnTo>
                    <a:pt x="98" y="125"/>
                  </a:lnTo>
                  <a:lnTo>
                    <a:pt x="92" y="127"/>
                  </a:lnTo>
                  <a:lnTo>
                    <a:pt x="86" y="130"/>
                  </a:lnTo>
                  <a:lnTo>
                    <a:pt x="80" y="132"/>
                  </a:lnTo>
                  <a:lnTo>
                    <a:pt x="72" y="133"/>
                  </a:lnTo>
                  <a:lnTo>
                    <a:pt x="66" y="133"/>
                  </a:lnTo>
                  <a:lnTo>
                    <a:pt x="60" y="133"/>
                  </a:lnTo>
                  <a:lnTo>
                    <a:pt x="52" y="132"/>
                  </a:lnTo>
                  <a:lnTo>
                    <a:pt x="46" y="130"/>
                  </a:lnTo>
                  <a:lnTo>
                    <a:pt x="40" y="127"/>
                  </a:lnTo>
                  <a:lnTo>
                    <a:pt x="34" y="125"/>
                  </a:lnTo>
                  <a:lnTo>
                    <a:pt x="29" y="121"/>
                  </a:lnTo>
                  <a:lnTo>
                    <a:pt x="23" y="118"/>
                  </a:lnTo>
                  <a:lnTo>
                    <a:pt x="18" y="113"/>
                  </a:lnTo>
                  <a:lnTo>
                    <a:pt x="15" y="109"/>
                  </a:lnTo>
                  <a:lnTo>
                    <a:pt x="11" y="104"/>
                  </a:lnTo>
                  <a:lnTo>
                    <a:pt x="8" y="98"/>
                  </a:lnTo>
                  <a:lnTo>
                    <a:pt x="5" y="92"/>
                  </a:lnTo>
                  <a:lnTo>
                    <a:pt x="3" y="86"/>
                  </a:lnTo>
                  <a:lnTo>
                    <a:pt x="2" y="79"/>
                  </a:lnTo>
                  <a:lnTo>
                    <a:pt x="0" y="73"/>
                  </a:lnTo>
                  <a:lnTo>
                    <a:pt x="0" y="66"/>
                  </a:lnTo>
                  <a:lnTo>
                    <a:pt x="0" y="60"/>
                  </a:lnTo>
                  <a:lnTo>
                    <a:pt x="2" y="53"/>
                  </a:lnTo>
                  <a:lnTo>
                    <a:pt x="3" y="47"/>
                  </a:lnTo>
                  <a:lnTo>
                    <a:pt x="5" y="41"/>
                  </a:lnTo>
                  <a:lnTo>
                    <a:pt x="8" y="35"/>
                  </a:lnTo>
                  <a:lnTo>
                    <a:pt x="11" y="29"/>
                  </a:lnTo>
                  <a:lnTo>
                    <a:pt x="15" y="24"/>
                  </a:lnTo>
                  <a:lnTo>
                    <a:pt x="18" y="20"/>
                  </a:lnTo>
                  <a:lnTo>
                    <a:pt x="25" y="15"/>
                  </a:lnTo>
                  <a:lnTo>
                    <a:pt x="29" y="12"/>
                  </a:lnTo>
                  <a:lnTo>
                    <a:pt x="34" y="8"/>
                  </a:lnTo>
                  <a:lnTo>
                    <a:pt x="40" y="4"/>
                  </a:lnTo>
                  <a:lnTo>
                    <a:pt x="46" y="3"/>
                  </a:lnTo>
                  <a:lnTo>
                    <a:pt x="52" y="1"/>
                  </a:lnTo>
                  <a:lnTo>
                    <a:pt x="60" y="0"/>
                  </a:lnTo>
                  <a:lnTo>
                    <a:pt x="66" y="0"/>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10" name="Freeform 9"/>
            <xdr:cNvSpPr>
              <a:spLocks/>
            </xdr:cNvSpPr>
          </xdr:nvSpPr>
          <xdr:spPr bwMode="auto">
            <a:xfrm>
              <a:off x="4245473" y="4438382"/>
              <a:ext cx="616362" cy="218010"/>
            </a:xfrm>
            <a:custGeom>
              <a:avLst/>
              <a:gdLst/>
              <a:ahLst/>
              <a:cxnLst>
                <a:cxn ang="0">
                  <a:pos x="386" y="362"/>
                </a:cxn>
                <a:cxn ang="0">
                  <a:pos x="383" y="341"/>
                </a:cxn>
                <a:cxn ang="0">
                  <a:pos x="377" y="322"/>
                </a:cxn>
                <a:cxn ang="0">
                  <a:pos x="369" y="306"/>
                </a:cxn>
                <a:cxn ang="0">
                  <a:pos x="357" y="292"/>
                </a:cxn>
                <a:cxn ang="0">
                  <a:pos x="342" y="281"/>
                </a:cxn>
                <a:cxn ang="0">
                  <a:pos x="323" y="274"/>
                </a:cxn>
                <a:cxn ang="0">
                  <a:pos x="300" y="272"/>
                </a:cxn>
                <a:cxn ang="0">
                  <a:pos x="280" y="274"/>
                </a:cxn>
                <a:cxn ang="0">
                  <a:pos x="264" y="280"/>
                </a:cxn>
                <a:cxn ang="0">
                  <a:pos x="250" y="289"/>
                </a:cxn>
                <a:cxn ang="0">
                  <a:pos x="238" y="301"/>
                </a:cxn>
                <a:cxn ang="0">
                  <a:pos x="228" y="316"/>
                </a:cxn>
                <a:cxn ang="0">
                  <a:pos x="221" y="333"/>
                </a:cxn>
                <a:cxn ang="0">
                  <a:pos x="216" y="350"/>
                </a:cxn>
                <a:cxn ang="0">
                  <a:pos x="215" y="370"/>
                </a:cxn>
                <a:cxn ang="0">
                  <a:pos x="20" y="382"/>
                </a:cxn>
                <a:cxn ang="0">
                  <a:pos x="8" y="381"/>
                </a:cxn>
                <a:cxn ang="0">
                  <a:pos x="3" y="376"/>
                </a:cxn>
                <a:cxn ang="0">
                  <a:pos x="0" y="368"/>
                </a:cxn>
                <a:cxn ang="0">
                  <a:pos x="0" y="179"/>
                </a:cxn>
                <a:cxn ang="0">
                  <a:pos x="65" y="18"/>
                </a:cxn>
                <a:cxn ang="0">
                  <a:pos x="68" y="13"/>
                </a:cxn>
                <a:cxn ang="0">
                  <a:pos x="75" y="6"/>
                </a:cxn>
                <a:cxn ang="0">
                  <a:pos x="80" y="3"/>
                </a:cxn>
                <a:cxn ang="0">
                  <a:pos x="92" y="1"/>
                </a:cxn>
                <a:cxn ang="0">
                  <a:pos x="1015" y="0"/>
                </a:cxn>
                <a:cxn ang="0">
                  <a:pos x="1026" y="12"/>
                </a:cxn>
                <a:cxn ang="0">
                  <a:pos x="1041" y="27"/>
                </a:cxn>
                <a:cxn ang="0">
                  <a:pos x="1049" y="38"/>
                </a:cxn>
                <a:cxn ang="0">
                  <a:pos x="1050" y="45"/>
                </a:cxn>
                <a:cxn ang="0">
                  <a:pos x="1047" y="49"/>
                </a:cxn>
                <a:cxn ang="0">
                  <a:pos x="1035" y="53"/>
                </a:cxn>
                <a:cxn ang="0">
                  <a:pos x="1078" y="171"/>
                </a:cxn>
                <a:cxn ang="0">
                  <a:pos x="1080" y="182"/>
                </a:cxn>
                <a:cxn ang="0">
                  <a:pos x="1081" y="359"/>
                </a:cxn>
                <a:cxn ang="0">
                  <a:pos x="1080" y="375"/>
                </a:cxn>
                <a:cxn ang="0">
                  <a:pos x="1076" y="379"/>
                </a:cxn>
                <a:cxn ang="0">
                  <a:pos x="1070" y="382"/>
                </a:cxn>
                <a:cxn ang="0">
                  <a:pos x="1060" y="382"/>
                </a:cxn>
                <a:cxn ang="0">
                  <a:pos x="937" y="375"/>
                </a:cxn>
                <a:cxn ang="0">
                  <a:pos x="934" y="355"/>
                </a:cxn>
                <a:cxn ang="0">
                  <a:pos x="930" y="336"/>
                </a:cxn>
                <a:cxn ang="0">
                  <a:pos x="922" y="318"/>
                </a:cxn>
                <a:cxn ang="0">
                  <a:pos x="913" y="303"/>
                </a:cxn>
                <a:cxn ang="0">
                  <a:pos x="899" y="289"/>
                </a:cxn>
                <a:cxn ang="0">
                  <a:pos x="884" y="280"/>
                </a:cxn>
                <a:cxn ang="0">
                  <a:pos x="865" y="274"/>
                </a:cxn>
                <a:cxn ang="0">
                  <a:pos x="845" y="270"/>
                </a:cxn>
                <a:cxn ang="0">
                  <a:pos x="822" y="274"/>
                </a:cxn>
                <a:cxn ang="0">
                  <a:pos x="804" y="280"/>
                </a:cxn>
                <a:cxn ang="0">
                  <a:pos x="790" y="292"/>
                </a:cxn>
                <a:cxn ang="0">
                  <a:pos x="778" y="306"/>
                </a:cxn>
                <a:cxn ang="0">
                  <a:pos x="770" y="322"/>
                </a:cxn>
                <a:cxn ang="0">
                  <a:pos x="764" y="342"/>
                </a:cxn>
                <a:cxn ang="0">
                  <a:pos x="761" y="362"/>
                </a:cxn>
                <a:cxn ang="0">
                  <a:pos x="388" y="382"/>
                </a:cxn>
              </a:cxnLst>
              <a:rect l="0" t="0" r="r" b="b"/>
              <a:pathLst>
                <a:path w="1081" h="382">
                  <a:moveTo>
                    <a:pt x="388" y="382"/>
                  </a:moveTo>
                  <a:lnTo>
                    <a:pt x="386" y="362"/>
                  </a:lnTo>
                  <a:lnTo>
                    <a:pt x="385" y="352"/>
                  </a:lnTo>
                  <a:lnTo>
                    <a:pt x="383" y="341"/>
                  </a:lnTo>
                  <a:lnTo>
                    <a:pt x="380" y="332"/>
                  </a:lnTo>
                  <a:lnTo>
                    <a:pt x="377" y="322"/>
                  </a:lnTo>
                  <a:lnTo>
                    <a:pt x="374" y="313"/>
                  </a:lnTo>
                  <a:lnTo>
                    <a:pt x="369" y="306"/>
                  </a:lnTo>
                  <a:lnTo>
                    <a:pt x="363" y="298"/>
                  </a:lnTo>
                  <a:lnTo>
                    <a:pt x="357" y="292"/>
                  </a:lnTo>
                  <a:lnTo>
                    <a:pt x="351" y="286"/>
                  </a:lnTo>
                  <a:lnTo>
                    <a:pt x="342" y="281"/>
                  </a:lnTo>
                  <a:lnTo>
                    <a:pt x="334" y="277"/>
                  </a:lnTo>
                  <a:lnTo>
                    <a:pt x="323" y="274"/>
                  </a:lnTo>
                  <a:lnTo>
                    <a:pt x="313" y="272"/>
                  </a:lnTo>
                  <a:lnTo>
                    <a:pt x="300" y="272"/>
                  </a:lnTo>
                  <a:lnTo>
                    <a:pt x="291" y="272"/>
                  </a:lnTo>
                  <a:lnTo>
                    <a:pt x="280" y="274"/>
                  </a:lnTo>
                  <a:lnTo>
                    <a:pt x="273" y="277"/>
                  </a:lnTo>
                  <a:lnTo>
                    <a:pt x="264" y="280"/>
                  </a:lnTo>
                  <a:lnTo>
                    <a:pt x="256" y="284"/>
                  </a:lnTo>
                  <a:lnTo>
                    <a:pt x="250" y="289"/>
                  </a:lnTo>
                  <a:lnTo>
                    <a:pt x="244" y="295"/>
                  </a:lnTo>
                  <a:lnTo>
                    <a:pt x="238" y="301"/>
                  </a:lnTo>
                  <a:lnTo>
                    <a:pt x="231" y="309"/>
                  </a:lnTo>
                  <a:lnTo>
                    <a:pt x="228" y="316"/>
                  </a:lnTo>
                  <a:lnTo>
                    <a:pt x="224" y="324"/>
                  </a:lnTo>
                  <a:lnTo>
                    <a:pt x="221" y="333"/>
                  </a:lnTo>
                  <a:lnTo>
                    <a:pt x="218" y="342"/>
                  </a:lnTo>
                  <a:lnTo>
                    <a:pt x="216" y="350"/>
                  </a:lnTo>
                  <a:lnTo>
                    <a:pt x="215" y="359"/>
                  </a:lnTo>
                  <a:lnTo>
                    <a:pt x="215" y="370"/>
                  </a:lnTo>
                  <a:lnTo>
                    <a:pt x="215" y="382"/>
                  </a:lnTo>
                  <a:lnTo>
                    <a:pt x="20" y="382"/>
                  </a:lnTo>
                  <a:lnTo>
                    <a:pt x="11" y="382"/>
                  </a:lnTo>
                  <a:lnTo>
                    <a:pt x="8" y="381"/>
                  </a:lnTo>
                  <a:lnTo>
                    <a:pt x="5" y="379"/>
                  </a:lnTo>
                  <a:lnTo>
                    <a:pt x="3" y="376"/>
                  </a:lnTo>
                  <a:lnTo>
                    <a:pt x="2" y="373"/>
                  </a:lnTo>
                  <a:lnTo>
                    <a:pt x="0" y="368"/>
                  </a:lnTo>
                  <a:lnTo>
                    <a:pt x="0" y="364"/>
                  </a:lnTo>
                  <a:lnTo>
                    <a:pt x="0" y="179"/>
                  </a:lnTo>
                  <a:lnTo>
                    <a:pt x="61" y="22"/>
                  </a:lnTo>
                  <a:lnTo>
                    <a:pt x="65" y="18"/>
                  </a:lnTo>
                  <a:lnTo>
                    <a:pt x="66" y="15"/>
                  </a:lnTo>
                  <a:lnTo>
                    <a:pt x="68" y="13"/>
                  </a:lnTo>
                  <a:lnTo>
                    <a:pt x="71" y="9"/>
                  </a:lnTo>
                  <a:lnTo>
                    <a:pt x="75" y="6"/>
                  </a:lnTo>
                  <a:lnTo>
                    <a:pt x="78" y="4"/>
                  </a:lnTo>
                  <a:lnTo>
                    <a:pt x="80" y="3"/>
                  </a:lnTo>
                  <a:lnTo>
                    <a:pt x="86" y="1"/>
                  </a:lnTo>
                  <a:lnTo>
                    <a:pt x="92" y="1"/>
                  </a:lnTo>
                  <a:lnTo>
                    <a:pt x="98" y="0"/>
                  </a:lnTo>
                  <a:lnTo>
                    <a:pt x="1015" y="0"/>
                  </a:lnTo>
                  <a:lnTo>
                    <a:pt x="1015" y="4"/>
                  </a:lnTo>
                  <a:lnTo>
                    <a:pt x="1026" y="12"/>
                  </a:lnTo>
                  <a:lnTo>
                    <a:pt x="1037" y="21"/>
                  </a:lnTo>
                  <a:lnTo>
                    <a:pt x="1041" y="27"/>
                  </a:lnTo>
                  <a:lnTo>
                    <a:pt x="1046" y="32"/>
                  </a:lnTo>
                  <a:lnTo>
                    <a:pt x="1049" y="38"/>
                  </a:lnTo>
                  <a:lnTo>
                    <a:pt x="1050" y="44"/>
                  </a:lnTo>
                  <a:lnTo>
                    <a:pt x="1050" y="45"/>
                  </a:lnTo>
                  <a:lnTo>
                    <a:pt x="1049" y="49"/>
                  </a:lnTo>
                  <a:lnTo>
                    <a:pt x="1047" y="49"/>
                  </a:lnTo>
                  <a:lnTo>
                    <a:pt x="1044" y="50"/>
                  </a:lnTo>
                  <a:lnTo>
                    <a:pt x="1035" y="53"/>
                  </a:lnTo>
                  <a:lnTo>
                    <a:pt x="1075" y="163"/>
                  </a:lnTo>
                  <a:lnTo>
                    <a:pt x="1078" y="171"/>
                  </a:lnTo>
                  <a:lnTo>
                    <a:pt x="1080" y="176"/>
                  </a:lnTo>
                  <a:lnTo>
                    <a:pt x="1080" y="182"/>
                  </a:lnTo>
                  <a:lnTo>
                    <a:pt x="1081" y="192"/>
                  </a:lnTo>
                  <a:lnTo>
                    <a:pt x="1081" y="359"/>
                  </a:lnTo>
                  <a:lnTo>
                    <a:pt x="1081" y="370"/>
                  </a:lnTo>
                  <a:lnTo>
                    <a:pt x="1080" y="375"/>
                  </a:lnTo>
                  <a:lnTo>
                    <a:pt x="1078" y="378"/>
                  </a:lnTo>
                  <a:lnTo>
                    <a:pt x="1076" y="379"/>
                  </a:lnTo>
                  <a:lnTo>
                    <a:pt x="1073" y="381"/>
                  </a:lnTo>
                  <a:lnTo>
                    <a:pt x="1070" y="382"/>
                  </a:lnTo>
                  <a:lnTo>
                    <a:pt x="1067" y="382"/>
                  </a:lnTo>
                  <a:lnTo>
                    <a:pt x="1060" y="382"/>
                  </a:lnTo>
                  <a:lnTo>
                    <a:pt x="936" y="382"/>
                  </a:lnTo>
                  <a:lnTo>
                    <a:pt x="937" y="375"/>
                  </a:lnTo>
                  <a:lnTo>
                    <a:pt x="936" y="364"/>
                  </a:lnTo>
                  <a:lnTo>
                    <a:pt x="934" y="355"/>
                  </a:lnTo>
                  <a:lnTo>
                    <a:pt x="933" y="345"/>
                  </a:lnTo>
                  <a:lnTo>
                    <a:pt x="930" y="336"/>
                  </a:lnTo>
                  <a:lnTo>
                    <a:pt x="926" y="327"/>
                  </a:lnTo>
                  <a:lnTo>
                    <a:pt x="922" y="318"/>
                  </a:lnTo>
                  <a:lnTo>
                    <a:pt x="917" y="310"/>
                  </a:lnTo>
                  <a:lnTo>
                    <a:pt x="913" y="303"/>
                  </a:lnTo>
                  <a:lnTo>
                    <a:pt x="907" y="296"/>
                  </a:lnTo>
                  <a:lnTo>
                    <a:pt x="899" y="289"/>
                  </a:lnTo>
                  <a:lnTo>
                    <a:pt x="891" y="284"/>
                  </a:lnTo>
                  <a:lnTo>
                    <a:pt x="884" y="280"/>
                  </a:lnTo>
                  <a:lnTo>
                    <a:pt x="874" y="275"/>
                  </a:lnTo>
                  <a:lnTo>
                    <a:pt x="865" y="274"/>
                  </a:lnTo>
                  <a:lnTo>
                    <a:pt x="856" y="270"/>
                  </a:lnTo>
                  <a:lnTo>
                    <a:pt x="845" y="270"/>
                  </a:lnTo>
                  <a:lnTo>
                    <a:pt x="833" y="270"/>
                  </a:lnTo>
                  <a:lnTo>
                    <a:pt x="822" y="274"/>
                  </a:lnTo>
                  <a:lnTo>
                    <a:pt x="813" y="277"/>
                  </a:lnTo>
                  <a:lnTo>
                    <a:pt x="804" y="280"/>
                  </a:lnTo>
                  <a:lnTo>
                    <a:pt x="796" y="286"/>
                  </a:lnTo>
                  <a:lnTo>
                    <a:pt x="790" y="292"/>
                  </a:lnTo>
                  <a:lnTo>
                    <a:pt x="784" y="298"/>
                  </a:lnTo>
                  <a:lnTo>
                    <a:pt x="778" y="306"/>
                  </a:lnTo>
                  <a:lnTo>
                    <a:pt x="773" y="315"/>
                  </a:lnTo>
                  <a:lnTo>
                    <a:pt x="770" y="322"/>
                  </a:lnTo>
                  <a:lnTo>
                    <a:pt x="767" y="332"/>
                  </a:lnTo>
                  <a:lnTo>
                    <a:pt x="764" y="342"/>
                  </a:lnTo>
                  <a:lnTo>
                    <a:pt x="763" y="352"/>
                  </a:lnTo>
                  <a:lnTo>
                    <a:pt x="761" y="362"/>
                  </a:lnTo>
                  <a:lnTo>
                    <a:pt x="760" y="382"/>
                  </a:lnTo>
                  <a:lnTo>
                    <a:pt x="388" y="382"/>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nvGrpSpPr>
            <xdr:cNvPr id="11" name="Group 10"/>
            <xdr:cNvGrpSpPr>
              <a:grpSpLocks/>
            </xdr:cNvGrpSpPr>
          </xdr:nvGrpSpPr>
          <xdr:grpSpPr bwMode="auto">
            <a:xfrm>
              <a:off x="4258199" y="4454351"/>
              <a:ext cx="568422" cy="78758"/>
              <a:chOff x="3326" y="2265"/>
              <a:chExt cx="498" cy="69"/>
            </a:xfrm>
            <a:solidFill>
              <a:schemeClr val="bg1"/>
            </a:solidFill>
          </xdr:grpSpPr>
          <xdr:sp macro="" textlink="">
            <xdr:nvSpPr>
              <xdr:cNvPr id="12" name="Freeform 11"/>
              <xdr:cNvSpPr>
                <a:spLocks/>
              </xdr:cNvSpPr>
            </xdr:nvSpPr>
            <xdr:spPr bwMode="auto">
              <a:xfrm>
                <a:off x="3326" y="2275"/>
                <a:ext cx="76" cy="59"/>
              </a:xfrm>
              <a:custGeom>
                <a:avLst/>
                <a:gdLst/>
                <a:ahLst/>
                <a:cxnLst>
                  <a:cxn ang="0">
                    <a:pos x="0" y="119"/>
                  </a:cxn>
                  <a:cxn ang="0">
                    <a:pos x="152" y="119"/>
                  </a:cxn>
                  <a:cxn ang="0">
                    <a:pos x="152" y="0"/>
                  </a:cxn>
                  <a:cxn ang="0">
                    <a:pos x="66" y="0"/>
                  </a:cxn>
                  <a:cxn ang="0">
                    <a:pos x="59" y="0"/>
                  </a:cxn>
                  <a:cxn ang="0">
                    <a:pos x="56" y="2"/>
                  </a:cxn>
                  <a:cxn ang="0">
                    <a:pos x="53" y="3"/>
                  </a:cxn>
                  <a:cxn ang="0">
                    <a:pos x="49" y="5"/>
                  </a:cxn>
                  <a:cxn ang="0">
                    <a:pos x="46" y="8"/>
                  </a:cxn>
                  <a:cxn ang="0">
                    <a:pos x="45" y="11"/>
                  </a:cxn>
                  <a:cxn ang="0">
                    <a:pos x="42" y="14"/>
                  </a:cxn>
                  <a:cxn ang="0">
                    <a:pos x="0" y="119"/>
                  </a:cxn>
                </a:cxnLst>
                <a:rect l="0" t="0" r="r" b="b"/>
                <a:pathLst>
                  <a:path w="152" h="119">
                    <a:moveTo>
                      <a:pt x="0" y="119"/>
                    </a:moveTo>
                    <a:lnTo>
                      <a:pt x="152" y="119"/>
                    </a:lnTo>
                    <a:lnTo>
                      <a:pt x="152" y="0"/>
                    </a:lnTo>
                    <a:lnTo>
                      <a:pt x="66" y="0"/>
                    </a:lnTo>
                    <a:lnTo>
                      <a:pt x="59" y="0"/>
                    </a:lnTo>
                    <a:lnTo>
                      <a:pt x="56" y="2"/>
                    </a:lnTo>
                    <a:lnTo>
                      <a:pt x="53" y="3"/>
                    </a:lnTo>
                    <a:lnTo>
                      <a:pt x="49" y="5"/>
                    </a:lnTo>
                    <a:lnTo>
                      <a:pt x="46" y="8"/>
                    </a:lnTo>
                    <a:lnTo>
                      <a:pt x="45" y="11"/>
                    </a:lnTo>
                    <a:lnTo>
                      <a:pt x="42" y="14"/>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13" name="Rectangle 12"/>
              <xdr:cNvSpPr>
                <a:spLocks noChangeArrowheads="1"/>
              </xdr:cNvSpPr>
            </xdr:nvSpPr>
            <xdr:spPr bwMode="auto">
              <a:xfrm>
                <a:off x="3418" y="2275"/>
                <a:ext cx="67"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14" name="Rectangle 13"/>
              <xdr:cNvSpPr>
                <a:spLocks noChangeArrowheads="1"/>
              </xdr:cNvSpPr>
            </xdr:nvSpPr>
            <xdr:spPr bwMode="auto">
              <a:xfrm>
                <a:off x="3578"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15" name="Rectangle 14"/>
              <xdr:cNvSpPr>
                <a:spLocks noChangeArrowheads="1"/>
              </xdr:cNvSpPr>
            </xdr:nvSpPr>
            <xdr:spPr bwMode="auto">
              <a:xfrm>
                <a:off x="3664"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16" name="Freeform 15"/>
              <xdr:cNvSpPr>
                <a:spLocks/>
              </xdr:cNvSpPr>
            </xdr:nvSpPr>
            <xdr:spPr bwMode="auto">
              <a:xfrm>
                <a:off x="3749" y="2265"/>
                <a:ext cx="75" cy="59"/>
              </a:xfrm>
              <a:custGeom>
                <a:avLst/>
                <a:gdLst/>
                <a:ahLst/>
                <a:cxnLst>
                  <a:cxn ang="0">
                    <a:pos x="0" y="119"/>
                  </a:cxn>
                  <a:cxn ang="0">
                    <a:pos x="150" y="119"/>
                  </a:cxn>
                  <a:cxn ang="0">
                    <a:pos x="108" y="0"/>
                  </a:cxn>
                  <a:cxn ang="0">
                    <a:pos x="0" y="0"/>
                  </a:cxn>
                  <a:cxn ang="0">
                    <a:pos x="0" y="119"/>
                  </a:cxn>
                </a:cxnLst>
                <a:rect l="0" t="0" r="r" b="b"/>
                <a:pathLst>
                  <a:path w="150" h="119">
                    <a:moveTo>
                      <a:pt x="0" y="119"/>
                    </a:moveTo>
                    <a:lnTo>
                      <a:pt x="150" y="119"/>
                    </a:lnTo>
                    <a:lnTo>
                      <a:pt x="108" y="0"/>
                    </a:lnTo>
                    <a:lnTo>
                      <a:pt x="0" y="0"/>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grpSp>
      <xdr:pic>
        <xdr:nvPicPr>
          <xdr:cNvPr id="8" name="Pictur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36374" y="2538484"/>
            <a:ext cx="644081" cy="335184"/>
          </a:xfrm>
          <a:prstGeom prst="rect">
            <a:avLst/>
          </a:prstGeom>
        </xdr:spPr>
      </xdr:pic>
    </xdr:grpSp>
    <xdr:clientData/>
  </xdr:twoCellAnchor>
  <xdr:twoCellAnchor>
    <xdr:from>
      <xdr:col>3</xdr:col>
      <xdr:colOff>45720</xdr:colOff>
      <xdr:row>72</xdr:row>
      <xdr:rowOff>55419</xdr:rowOff>
    </xdr:from>
    <xdr:to>
      <xdr:col>11</xdr:col>
      <xdr:colOff>69272</xdr:colOff>
      <xdr:row>92</xdr:row>
      <xdr:rowOff>57150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22316</xdr:colOff>
      <xdr:row>97</xdr:row>
      <xdr:rowOff>69272</xdr:rowOff>
    </xdr:from>
    <xdr:to>
      <xdr:col>11</xdr:col>
      <xdr:colOff>69272</xdr:colOff>
      <xdr:row>116</xdr:row>
      <xdr:rowOff>626918</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342901</xdr:colOff>
      <xdr:row>73</xdr:row>
      <xdr:rowOff>137509</xdr:rowOff>
    </xdr:from>
    <xdr:to>
      <xdr:col>10</xdr:col>
      <xdr:colOff>598171</xdr:colOff>
      <xdr:row>76</xdr:row>
      <xdr:rowOff>131943</xdr:rowOff>
    </xdr:to>
    <xdr:pic>
      <xdr:nvPicPr>
        <xdr:cNvPr id="19" name="Picture 1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1446" y="12925254"/>
          <a:ext cx="989561" cy="493198"/>
        </a:xfrm>
        <a:prstGeom prst="rect">
          <a:avLst/>
        </a:prstGeom>
      </xdr:spPr>
    </xdr:pic>
    <xdr:clientData/>
  </xdr:twoCellAnchor>
  <xdr:twoCellAnchor>
    <xdr:from>
      <xdr:col>8</xdr:col>
      <xdr:colOff>681848</xdr:colOff>
      <xdr:row>98</xdr:row>
      <xdr:rowOff>45423</xdr:rowOff>
    </xdr:from>
    <xdr:to>
      <xdr:col>10</xdr:col>
      <xdr:colOff>572492</xdr:colOff>
      <xdr:row>101</xdr:row>
      <xdr:rowOff>8956</xdr:rowOff>
    </xdr:to>
    <xdr:grpSp>
      <xdr:nvGrpSpPr>
        <xdr:cNvPr id="20" name="Group 19"/>
        <xdr:cNvGrpSpPr/>
      </xdr:nvGrpSpPr>
      <xdr:grpSpPr>
        <a:xfrm>
          <a:off x="7470575" y="16359150"/>
          <a:ext cx="1310735" cy="431124"/>
          <a:chOff x="5036374" y="2538484"/>
          <a:chExt cx="977804" cy="335184"/>
        </a:xfrm>
      </xdr:grpSpPr>
      <xdr:grpSp>
        <xdr:nvGrpSpPr>
          <xdr:cNvPr id="21" name="Group 20"/>
          <xdr:cNvGrpSpPr/>
        </xdr:nvGrpSpPr>
        <xdr:grpSpPr>
          <a:xfrm>
            <a:off x="5360891" y="2579367"/>
            <a:ext cx="653287" cy="257678"/>
            <a:chOff x="4245473" y="4438382"/>
            <a:chExt cx="616362" cy="243115"/>
          </a:xfrm>
        </xdr:grpSpPr>
        <xdr:sp macro="" textlink="">
          <xdr:nvSpPr>
            <xdr:cNvPr id="23" name="Freeform 22"/>
            <xdr:cNvSpPr>
              <a:spLocks/>
            </xdr:cNvSpPr>
          </xdr:nvSpPr>
          <xdr:spPr bwMode="auto">
            <a:xfrm>
              <a:off x="4691226" y="4605023"/>
              <a:ext cx="75333" cy="76474"/>
            </a:xfrm>
            <a:custGeom>
              <a:avLst/>
              <a:gdLst/>
              <a:ahLst/>
              <a:cxnLst>
                <a:cxn ang="0">
                  <a:pos x="72" y="0"/>
                </a:cxn>
                <a:cxn ang="0">
                  <a:pos x="86" y="3"/>
                </a:cxn>
                <a:cxn ang="0">
                  <a:pos x="98" y="8"/>
                </a:cxn>
                <a:cxn ang="0">
                  <a:pos x="109" y="15"/>
                </a:cxn>
                <a:cxn ang="0">
                  <a:pos x="116" y="24"/>
                </a:cxn>
                <a:cxn ang="0">
                  <a:pos x="124" y="35"/>
                </a:cxn>
                <a:cxn ang="0">
                  <a:pos x="130" y="47"/>
                </a:cxn>
                <a:cxn ang="0">
                  <a:pos x="132" y="60"/>
                </a:cxn>
                <a:cxn ang="0">
                  <a:pos x="132" y="73"/>
                </a:cxn>
                <a:cxn ang="0">
                  <a:pos x="132" y="79"/>
                </a:cxn>
                <a:cxn ang="0">
                  <a:pos x="127" y="92"/>
                </a:cxn>
                <a:cxn ang="0">
                  <a:pos x="121" y="104"/>
                </a:cxn>
                <a:cxn ang="0">
                  <a:pos x="113" y="113"/>
                </a:cxn>
                <a:cxn ang="0">
                  <a:pos x="103" y="121"/>
                </a:cxn>
                <a:cxn ang="0">
                  <a:pos x="92" y="127"/>
                </a:cxn>
                <a:cxn ang="0">
                  <a:pos x="80" y="132"/>
                </a:cxn>
                <a:cxn ang="0">
                  <a:pos x="66" y="133"/>
                </a:cxn>
                <a:cxn ang="0">
                  <a:pos x="52" y="132"/>
                </a:cxn>
                <a:cxn ang="0">
                  <a:pos x="40" y="127"/>
                </a:cxn>
                <a:cxn ang="0">
                  <a:pos x="29" y="121"/>
                </a:cxn>
                <a:cxn ang="0">
                  <a:pos x="18" y="113"/>
                </a:cxn>
                <a:cxn ang="0">
                  <a:pos x="11" y="104"/>
                </a:cxn>
                <a:cxn ang="0">
                  <a:pos x="5" y="92"/>
                </a:cxn>
                <a:cxn ang="0">
                  <a:pos x="2" y="79"/>
                </a:cxn>
                <a:cxn ang="0">
                  <a:pos x="0" y="66"/>
                </a:cxn>
                <a:cxn ang="0">
                  <a:pos x="2" y="53"/>
                </a:cxn>
                <a:cxn ang="0">
                  <a:pos x="5" y="41"/>
                </a:cxn>
                <a:cxn ang="0">
                  <a:pos x="11" y="29"/>
                </a:cxn>
                <a:cxn ang="0">
                  <a:pos x="18" y="20"/>
                </a:cxn>
                <a:cxn ang="0">
                  <a:pos x="29" y="12"/>
                </a:cxn>
                <a:cxn ang="0">
                  <a:pos x="40" y="4"/>
                </a:cxn>
                <a:cxn ang="0">
                  <a:pos x="52" y="1"/>
                </a:cxn>
                <a:cxn ang="0">
                  <a:pos x="66" y="0"/>
                </a:cxn>
              </a:cxnLst>
              <a:rect l="0" t="0" r="r" b="b"/>
              <a:pathLst>
                <a:path w="132" h="133">
                  <a:moveTo>
                    <a:pt x="66" y="0"/>
                  </a:moveTo>
                  <a:lnTo>
                    <a:pt x="72" y="0"/>
                  </a:lnTo>
                  <a:lnTo>
                    <a:pt x="80" y="1"/>
                  </a:lnTo>
                  <a:lnTo>
                    <a:pt x="86" y="3"/>
                  </a:lnTo>
                  <a:lnTo>
                    <a:pt x="92" y="4"/>
                  </a:lnTo>
                  <a:lnTo>
                    <a:pt x="98" y="8"/>
                  </a:lnTo>
                  <a:lnTo>
                    <a:pt x="103" y="12"/>
                  </a:lnTo>
                  <a:lnTo>
                    <a:pt x="109" y="15"/>
                  </a:lnTo>
                  <a:lnTo>
                    <a:pt x="113" y="20"/>
                  </a:lnTo>
                  <a:lnTo>
                    <a:pt x="116" y="24"/>
                  </a:lnTo>
                  <a:lnTo>
                    <a:pt x="121" y="29"/>
                  </a:lnTo>
                  <a:lnTo>
                    <a:pt x="124" y="35"/>
                  </a:lnTo>
                  <a:lnTo>
                    <a:pt x="127" y="41"/>
                  </a:lnTo>
                  <a:lnTo>
                    <a:pt x="130" y="47"/>
                  </a:lnTo>
                  <a:lnTo>
                    <a:pt x="132" y="53"/>
                  </a:lnTo>
                  <a:lnTo>
                    <a:pt x="132" y="60"/>
                  </a:lnTo>
                  <a:lnTo>
                    <a:pt x="132" y="66"/>
                  </a:lnTo>
                  <a:lnTo>
                    <a:pt x="132" y="73"/>
                  </a:lnTo>
                  <a:lnTo>
                    <a:pt x="132" y="76"/>
                  </a:lnTo>
                  <a:lnTo>
                    <a:pt x="132" y="79"/>
                  </a:lnTo>
                  <a:lnTo>
                    <a:pt x="130" y="86"/>
                  </a:lnTo>
                  <a:lnTo>
                    <a:pt x="127" y="92"/>
                  </a:lnTo>
                  <a:lnTo>
                    <a:pt x="124" y="98"/>
                  </a:lnTo>
                  <a:lnTo>
                    <a:pt x="121" y="104"/>
                  </a:lnTo>
                  <a:lnTo>
                    <a:pt x="116" y="109"/>
                  </a:lnTo>
                  <a:lnTo>
                    <a:pt x="113" y="113"/>
                  </a:lnTo>
                  <a:lnTo>
                    <a:pt x="109" y="118"/>
                  </a:lnTo>
                  <a:lnTo>
                    <a:pt x="103" y="121"/>
                  </a:lnTo>
                  <a:lnTo>
                    <a:pt x="98" y="125"/>
                  </a:lnTo>
                  <a:lnTo>
                    <a:pt x="92" y="127"/>
                  </a:lnTo>
                  <a:lnTo>
                    <a:pt x="86" y="130"/>
                  </a:lnTo>
                  <a:lnTo>
                    <a:pt x="80" y="132"/>
                  </a:lnTo>
                  <a:lnTo>
                    <a:pt x="72" y="133"/>
                  </a:lnTo>
                  <a:lnTo>
                    <a:pt x="66" y="133"/>
                  </a:lnTo>
                  <a:lnTo>
                    <a:pt x="60" y="133"/>
                  </a:lnTo>
                  <a:lnTo>
                    <a:pt x="52" y="132"/>
                  </a:lnTo>
                  <a:lnTo>
                    <a:pt x="46" y="130"/>
                  </a:lnTo>
                  <a:lnTo>
                    <a:pt x="40" y="127"/>
                  </a:lnTo>
                  <a:lnTo>
                    <a:pt x="34" y="125"/>
                  </a:lnTo>
                  <a:lnTo>
                    <a:pt x="29" y="121"/>
                  </a:lnTo>
                  <a:lnTo>
                    <a:pt x="23" y="118"/>
                  </a:lnTo>
                  <a:lnTo>
                    <a:pt x="18" y="113"/>
                  </a:lnTo>
                  <a:lnTo>
                    <a:pt x="15" y="109"/>
                  </a:lnTo>
                  <a:lnTo>
                    <a:pt x="11" y="104"/>
                  </a:lnTo>
                  <a:lnTo>
                    <a:pt x="8" y="98"/>
                  </a:lnTo>
                  <a:lnTo>
                    <a:pt x="5" y="92"/>
                  </a:lnTo>
                  <a:lnTo>
                    <a:pt x="3" y="86"/>
                  </a:lnTo>
                  <a:lnTo>
                    <a:pt x="2" y="79"/>
                  </a:lnTo>
                  <a:lnTo>
                    <a:pt x="0" y="73"/>
                  </a:lnTo>
                  <a:lnTo>
                    <a:pt x="0" y="66"/>
                  </a:lnTo>
                  <a:lnTo>
                    <a:pt x="0" y="60"/>
                  </a:lnTo>
                  <a:lnTo>
                    <a:pt x="2" y="53"/>
                  </a:lnTo>
                  <a:lnTo>
                    <a:pt x="3" y="47"/>
                  </a:lnTo>
                  <a:lnTo>
                    <a:pt x="5" y="41"/>
                  </a:lnTo>
                  <a:lnTo>
                    <a:pt x="8" y="35"/>
                  </a:lnTo>
                  <a:lnTo>
                    <a:pt x="11" y="29"/>
                  </a:lnTo>
                  <a:lnTo>
                    <a:pt x="15" y="24"/>
                  </a:lnTo>
                  <a:lnTo>
                    <a:pt x="18" y="20"/>
                  </a:lnTo>
                  <a:lnTo>
                    <a:pt x="25" y="15"/>
                  </a:lnTo>
                  <a:lnTo>
                    <a:pt x="29" y="12"/>
                  </a:lnTo>
                  <a:lnTo>
                    <a:pt x="34" y="8"/>
                  </a:lnTo>
                  <a:lnTo>
                    <a:pt x="40" y="4"/>
                  </a:lnTo>
                  <a:lnTo>
                    <a:pt x="46" y="3"/>
                  </a:lnTo>
                  <a:lnTo>
                    <a:pt x="52" y="1"/>
                  </a:lnTo>
                  <a:lnTo>
                    <a:pt x="60" y="0"/>
                  </a:lnTo>
                  <a:lnTo>
                    <a:pt x="66" y="0"/>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4" name="Freeform 23"/>
            <xdr:cNvSpPr>
              <a:spLocks/>
            </xdr:cNvSpPr>
          </xdr:nvSpPr>
          <xdr:spPr bwMode="auto">
            <a:xfrm>
              <a:off x="4245473" y="4438382"/>
              <a:ext cx="616362" cy="218010"/>
            </a:xfrm>
            <a:custGeom>
              <a:avLst/>
              <a:gdLst/>
              <a:ahLst/>
              <a:cxnLst>
                <a:cxn ang="0">
                  <a:pos x="386" y="362"/>
                </a:cxn>
                <a:cxn ang="0">
                  <a:pos x="383" y="341"/>
                </a:cxn>
                <a:cxn ang="0">
                  <a:pos x="377" y="322"/>
                </a:cxn>
                <a:cxn ang="0">
                  <a:pos x="369" y="306"/>
                </a:cxn>
                <a:cxn ang="0">
                  <a:pos x="357" y="292"/>
                </a:cxn>
                <a:cxn ang="0">
                  <a:pos x="342" y="281"/>
                </a:cxn>
                <a:cxn ang="0">
                  <a:pos x="323" y="274"/>
                </a:cxn>
                <a:cxn ang="0">
                  <a:pos x="300" y="272"/>
                </a:cxn>
                <a:cxn ang="0">
                  <a:pos x="280" y="274"/>
                </a:cxn>
                <a:cxn ang="0">
                  <a:pos x="264" y="280"/>
                </a:cxn>
                <a:cxn ang="0">
                  <a:pos x="250" y="289"/>
                </a:cxn>
                <a:cxn ang="0">
                  <a:pos x="238" y="301"/>
                </a:cxn>
                <a:cxn ang="0">
                  <a:pos x="228" y="316"/>
                </a:cxn>
                <a:cxn ang="0">
                  <a:pos x="221" y="333"/>
                </a:cxn>
                <a:cxn ang="0">
                  <a:pos x="216" y="350"/>
                </a:cxn>
                <a:cxn ang="0">
                  <a:pos x="215" y="370"/>
                </a:cxn>
                <a:cxn ang="0">
                  <a:pos x="20" y="382"/>
                </a:cxn>
                <a:cxn ang="0">
                  <a:pos x="8" y="381"/>
                </a:cxn>
                <a:cxn ang="0">
                  <a:pos x="3" y="376"/>
                </a:cxn>
                <a:cxn ang="0">
                  <a:pos x="0" y="368"/>
                </a:cxn>
                <a:cxn ang="0">
                  <a:pos x="0" y="179"/>
                </a:cxn>
                <a:cxn ang="0">
                  <a:pos x="65" y="18"/>
                </a:cxn>
                <a:cxn ang="0">
                  <a:pos x="68" y="13"/>
                </a:cxn>
                <a:cxn ang="0">
                  <a:pos x="75" y="6"/>
                </a:cxn>
                <a:cxn ang="0">
                  <a:pos x="80" y="3"/>
                </a:cxn>
                <a:cxn ang="0">
                  <a:pos x="92" y="1"/>
                </a:cxn>
                <a:cxn ang="0">
                  <a:pos x="1015" y="0"/>
                </a:cxn>
                <a:cxn ang="0">
                  <a:pos x="1026" y="12"/>
                </a:cxn>
                <a:cxn ang="0">
                  <a:pos x="1041" y="27"/>
                </a:cxn>
                <a:cxn ang="0">
                  <a:pos x="1049" y="38"/>
                </a:cxn>
                <a:cxn ang="0">
                  <a:pos x="1050" y="45"/>
                </a:cxn>
                <a:cxn ang="0">
                  <a:pos x="1047" y="49"/>
                </a:cxn>
                <a:cxn ang="0">
                  <a:pos x="1035" y="53"/>
                </a:cxn>
                <a:cxn ang="0">
                  <a:pos x="1078" y="171"/>
                </a:cxn>
                <a:cxn ang="0">
                  <a:pos x="1080" y="182"/>
                </a:cxn>
                <a:cxn ang="0">
                  <a:pos x="1081" y="359"/>
                </a:cxn>
                <a:cxn ang="0">
                  <a:pos x="1080" y="375"/>
                </a:cxn>
                <a:cxn ang="0">
                  <a:pos x="1076" y="379"/>
                </a:cxn>
                <a:cxn ang="0">
                  <a:pos x="1070" y="382"/>
                </a:cxn>
                <a:cxn ang="0">
                  <a:pos x="1060" y="382"/>
                </a:cxn>
                <a:cxn ang="0">
                  <a:pos x="937" y="375"/>
                </a:cxn>
                <a:cxn ang="0">
                  <a:pos x="934" y="355"/>
                </a:cxn>
                <a:cxn ang="0">
                  <a:pos x="930" y="336"/>
                </a:cxn>
                <a:cxn ang="0">
                  <a:pos x="922" y="318"/>
                </a:cxn>
                <a:cxn ang="0">
                  <a:pos x="913" y="303"/>
                </a:cxn>
                <a:cxn ang="0">
                  <a:pos x="899" y="289"/>
                </a:cxn>
                <a:cxn ang="0">
                  <a:pos x="884" y="280"/>
                </a:cxn>
                <a:cxn ang="0">
                  <a:pos x="865" y="274"/>
                </a:cxn>
                <a:cxn ang="0">
                  <a:pos x="845" y="270"/>
                </a:cxn>
                <a:cxn ang="0">
                  <a:pos x="822" y="274"/>
                </a:cxn>
                <a:cxn ang="0">
                  <a:pos x="804" y="280"/>
                </a:cxn>
                <a:cxn ang="0">
                  <a:pos x="790" y="292"/>
                </a:cxn>
                <a:cxn ang="0">
                  <a:pos x="778" y="306"/>
                </a:cxn>
                <a:cxn ang="0">
                  <a:pos x="770" y="322"/>
                </a:cxn>
                <a:cxn ang="0">
                  <a:pos x="764" y="342"/>
                </a:cxn>
                <a:cxn ang="0">
                  <a:pos x="761" y="362"/>
                </a:cxn>
                <a:cxn ang="0">
                  <a:pos x="388" y="382"/>
                </a:cxn>
              </a:cxnLst>
              <a:rect l="0" t="0" r="r" b="b"/>
              <a:pathLst>
                <a:path w="1081" h="382">
                  <a:moveTo>
                    <a:pt x="388" y="382"/>
                  </a:moveTo>
                  <a:lnTo>
                    <a:pt x="386" y="362"/>
                  </a:lnTo>
                  <a:lnTo>
                    <a:pt x="385" y="352"/>
                  </a:lnTo>
                  <a:lnTo>
                    <a:pt x="383" y="341"/>
                  </a:lnTo>
                  <a:lnTo>
                    <a:pt x="380" y="332"/>
                  </a:lnTo>
                  <a:lnTo>
                    <a:pt x="377" y="322"/>
                  </a:lnTo>
                  <a:lnTo>
                    <a:pt x="374" y="313"/>
                  </a:lnTo>
                  <a:lnTo>
                    <a:pt x="369" y="306"/>
                  </a:lnTo>
                  <a:lnTo>
                    <a:pt x="363" y="298"/>
                  </a:lnTo>
                  <a:lnTo>
                    <a:pt x="357" y="292"/>
                  </a:lnTo>
                  <a:lnTo>
                    <a:pt x="351" y="286"/>
                  </a:lnTo>
                  <a:lnTo>
                    <a:pt x="342" y="281"/>
                  </a:lnTo>
                  <a:lnTo>
                    <a:pt x="334" y="277"/>
                  </a:lnTo>
                  <a:lnTo>
                    <a:pt x="323" y="274"/>
                  </a:lnTo>
                  <a:lnTo>
                    <a:pt x="313" y="272"/>
                  </a:lnTo>
                  <a:lnTo>
                    <a:pt x="300" y="272"/>
                  </a:lnTo>
                  <a:lnTo>
                    <a:pt x="291" y="272"/>
                  </a:lnTo>
                  <a:lnTo>
                    <a:pt x="280" y="274"/>
                  </a:lnTo>
                  <a:lnTo>
                    <a:pt x="273" y="277"/>
                  </a:lnTo>
                  <a:lnTo>
                    <a:pt x="264" y="280"/>
                  </a:lnTo>
                  <a:lnTo>
                    <a:pt x="256" y="284"/>
                  </a:lnTo>
                  <a:lnTo>
                    <a:pt x="250" y="289"/>
                  </a:lnTo>
                  <a:lnTo>
                    <a:pt x="244" y="295"/>
                  </a:lnTo>
                  <a:lnTo>
                    <a:pt x="238" y="301"/>
                  </a:lnTo>
                  <a:lnTo>
                    <a:pt x="231" y="309"/>
                  </a:lnTo>
                  <a:lnTo>
                    <a:pt x="228" y="316"/>
                  </a:lnTo>
                  <a:lnTo>
                    <a:pt x="224" y="324"/>
                  </a:lnTo>
                  <a:lnTo>
                    <a:pt x="221" y="333"/>
                  </a:lnTo>
                  <a:lnTo>
                    <a:pt x="218" y="342"/>
                  </a:lnTo>
                  <a:lnTo>
                    <a:pt x="216" y="350"/>
                  </a:lnTo>
                  <a:lnTo>
                    <a:pt x="215" y="359"/>
                  </a:lnTo>
                  <a:lnTo>
                    <a:pt x="215" y="370"/>
                  </a:lnTo>
                  <a:lnTo>
                    <a:pt x="215" y="382"/>
                  </a:lnTo>
                  <a:lnTo>
                    <a:pt x="20" y="382"/>
                  </a:lnTo>
                  <a:lnTo>
                    <a:pt x="11" y="382"/>
                  </a:lnTo>
                  <a:lnTo>
                    <a:pt x="8" y="381"/>
                  </a:lnTo>
                  <a:lnTo>
                    <a:pt x="5" y="379"/>
                  </a:lnTo>
                  <a:lnTo>
                    <a:pt x="3" y="376"/>
                  </a:lnTo>
                  <a:lnTo>
                    <a:pt x="2" y="373"/>
                  </a:lnTo>
                  <a:lnTo>
                    <a:pt x="0" y="368"/>
                  </a:lnTo>
                  <a:lnTo>
                    <a:pt x="0" y="364"/>
                  </a:lnTo>
                  <a:lnTo>
                    <a:pt x="0" y="179"/>
                  </a:lnTo>
                  <a:lnTo>
                    <a:pt x="61" y="22"/>
                  </a:lnTo>
                  <a:lnTo>
                    <a:pt x="65" y="18"/>
                  </a:lnTo>
                  <a:lnTo>
                    <a:pt x="66" y="15"/>
                  </a:lnTo>
                  <a:lnTo>
                    <a:pt x="68" y="13"/>
                  </a:lnTo>
                  <a:lnTo>
                    <a:pt x="71" y="9"/>
                  </a:lnTo>
                  <a:lnTo>
                    <a:pt x="75" y="6"/>
                  </a:lnTo>
                  <a:lnTo>
                    <a:pt x="78" y="4"/>
                  </a:lnTo>
                  <a:lnTo>
                    <a:pt x="80" y="3"/>
                  </a:lnTo>
                  <a:lnTo>
                    <a:pt x="86" y="1"/>
                  </a:lnTo>
                  <a:lnTo>
                    <a:pt x="92" y="1"/>
                  </a:lnTo>
                  <a:lnTo>
                    <a:pt x="98" y="0"/>
                  </a:lnTo>
                  <a:lnTo>
                    <a:pt x="1015" y="0"/>
                  </a:lnTo>
                  <a:lnTo>
                    <a:pt x="1015" y="4"/>
                  </a:lnTo>
                  <a:lnTo>
                    <a:pt x="1026" y="12"/>
                  </a:lnTo>
                  <a:lnTo>
                    <a:pt x="1037" y="21"/>
                  </a:lnTo>
                  <a:lnTo>
                    <a:pt x="1041" y="27"/>
                  </a:lnTo>
                  <a:lnTo>
                    <a:pt x="1046" y="32"/>
                  </a:lnTo>
                  <a:lnTo>
                    <a:pt x="1049" y="38"/>
                  </a:lnTo>
                  <a:lnTo>
                    <a:pt x="1050" y="44"/>
                  </a:lnTo>
                  <a:lnTo>
                    <a:pt x="1050" y="45"/>
                  </a:lnTo>
                  <a:lnTo>
                    <a:pt x="1049" y="49"/>
                  </a:lnTo>
                  <a:lnTo>
                    <a:pt x="1047" y="49"/>
                  </a:lnTo>
                  <a:lnTo>
                    <a:pt x="1044" y="50"/>
                  </a:lnTo>
                  <a:lnTo>
                    <a:pt x="1035" y="53"/>
                  </a:lnTo>
                  <a:lnTo>
                    <a:pt x="1075" y="163"/>
                  </a:lnTo>
                  <a:lnTo>
                    <a:pt x="1078" y="171"/>
                  </a:lnTo>
                  <a:lnTo>
                    <a:pt x="1080" y="176"/>
                  </a:lnTo>
                  <a:lnTo>
                    <a:pt x="1080" y="182"/>
                  </a:lnTo>
                  <a:lnTo>
                    <a:pt x="1081" y="192"/>
                  </a:lnTo>
                  <a:lnTo>
                    <a:pt x="1081" y="359"/>
                  </a:lnTo>
                  <a:lnTo>
                    <a:pt x="1081" y="370"/>
                  </a:lnTo>
                  <a:lnTo>
                    <a:pt x="1080" y="375"/>
                  </a:lnTo>
                  <a:lnTo>
                    <a:pt x="1078" y="378"/>
                  </a:lnTo>
                  <a:lnTo>
                    <a:pt x="1076" y="379"/>
                  </a:lnTo>
                  <a:lnTo>
                    <a:pt x="1073" y="381"/>
                  </a:lnTo>
                  <a:lnTo>
                    <a:pt x="1070" y="382"/>
                  </a:lnTo>
                  <a:lnTo>
                    <a:pt x="1067" y="382"/>
                  </a:lnTo>
                  <a:lnTo>
                    <a:pt x="1060" y="382"/>
                  </a:lnTo>
                  <a:lnTo>
                    <a:pt x="936" y="382"/>
                  </a:lnTo>
                  <a:lnTo>
                    <a:pt x="937" y="375"/>
                  </a:lnTo>
                  <a:lnTo>
                    <a:pt x="936" y="364"/>
                  </a:lnTo>
                  <a:lnTo>
                    <a:pt x="934" y="355"/>
                  </a:lnTo>
                  <a:lnTo>
                    <a:pt x="933" y="345"/>
                  </a:lnTo>
                  <a:lnTo>
                    <a:pt x="930" y="336"/>
                  </a:lnTo>
                  <a:lnTo>
                    <a:pt x="926" y="327"/>
                  </a:lnTo>
                  <a:lnTo>
                    <a:pt x="922" y="318"/>
                  </a:lnTo>
                  <a:lnTo>
                    <a:pt x="917" y="310"/>
                  </a:lnTo>
                  <a:lnTo>
                    <a:pt x="913" y="303"/>
                  </a:lnTo>
                  <a:lnTo>
                    <a:pt x="907" y="296"/>
                  </a:lnTo>
                  <a:lnTo>
                    <a:pt x="899" y="289"/>
                  </a:lnTo>
                  <a:lnTo>
                    <a:pt x="891" y="284"/>
                  </a:lnTo>
                  <a:lnTo>
                    <a:pt x="884" y="280"/>
                  </a:lnTo>
                  <a:lnTo>
                    <a:pt x="874" y="275"/>
                  </a:lnTo>
                  <a:lnTo>
                    <a:pt x="865" y="274"/>
                  </a:lnTo>
                  <a:lnTo>
                    <a:pt x="856" y="270"/>
                  </a:lnTo>
                  <a:lnTo>
                    <a:pt x="845" y="270"/>
                  </a:lnTo>
                  <a:lnTo>
                    <a:pt x="833" y="270"/>
                  </a:lnTo>
                  <a:lnTo>
                    <a:pt x="822" y="274"/>
                  </a:lnTo>
                  <a:lnTo>
                    <a:pt x="813" y="277"/>
                  </a:lnTo>
                  <a:lnTo>
                    <a:pt x="804" y="280"/>
                  </a:lnTo>
                  <a:lnTo>
                    <a:pt x="796" y="286"/>
                  </a:lnTo>
                  <a:lnTo>
                    <a:pt x="790" y="292"/>
                  </a:lnTo>
                  <a:lnTo>
                    <a:pt x="784" y="298"/>
                  </a:lnTo>
                  <a:lnTo>
                    <a:pt x="778" y="306"/>
                  </a:lnTo>
                  <a:lnTo>
                    <a:pt x="773" y="315"/>
                  </a:lnTo>
                  <a:lnTo>
                    <a:pt x="770" y="322"/>
                  </a:lnTo>
                  <a:lnTo>
                    <a:pt x="767" y="332"/>
                  </a:lnTo>
                  <a:lnTo>
                    <a:pt x="764" y="342"/>
                  </a:lnTo>
                  <a:lnTo>
                    <a:pt x="763" y="352"/>
                  </a:lnTo>
                  <a:lnTo>
                    <a:pt x="761" y="362"/>
                  </a:lnTo>
                  <a:lnTo>
                    <a:pt x="760" y="382"/>
                  </a:lnTo>
                  <a:lnTo>
                    <a:pt x="388" y="382"/>
                  </a:lnTo>
                  <a:close/>
                </a:path>
              </a:pathLst>
            </a:custGeom>
            <a:solidFill>
              <a:srgbClr val="0091EA"/>
            </a:solid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nvGrpSpPr>
            <xdr:cNvPr id="25" name="Group 24"/>
            <xdr:cNvGrpSpPr>
              <a:grpSpLocks/>
            </xdr:cNvGrpSpPr>
          </xdr:nvGrpSpPr>
          <xdr:grpSpPr bwMode="auto">
            <a:xfrm>
              <a:off x="4258199" y="4454351"/>
              <a:ext cx="568422" cy="78758"/>
              <a:chOff x="3326" y="2265"/>
              <a:chExt cx="498" cy="69"/>
            </a:xfrm>
            <a:solidFill>
              <a:schemeClr val="bg1"/>
            </a:solidFill>
          </xdr:grpSpPr>
          <xdr:sp macro="" textlink="">
            <xdr:nvSpPr>
              <xdr:cNvPr id="26" name="Freeform 25"/>
              <xdr:cNvSpPr>
                <a:spLocks/>
              </xdr:cNvSpPr>
            </xdr:nvSpPr>
            <xdr:spPr bwMode="auto">
              <a:xfrm>
                <a:off x="3326" y="2275"/>
                <a:ext cx="76" cy="59"/>
              </a:xfrm>
              <a:custGeom>
                <a:avLst/>
                <a:gdLst/>
                <a:ahLst/>
                <a:cxnLst>
                  <a:cxn ang="0">
                    <a:pos x="0" y="119"/>
                  </a:cxn>
                  <a:cxn ang="0">
                    <a:pos x="152" y="119"/>
                  </a:cxn>
                  <a:cxn ang="0">
                    <a:pos x="152" y="0"/>
                  </a:cxn>
                  <a:cxn ang="0">
                    <a:pos x="66" y="0"/>
                  </a:cxn>
                  <a:cxn ang="0">
                    <a:pos x="59" y="0"/>
                  </a:cxn>
                  <a:cxn ang="0">
                    <a:pos x="56" y="2"/>
                  </a:cxn>
                  <a:cxn ang="0">
                    <a:pos x="53" y="3"/>
                  </a:cxn>
                  <a:cxn ang="0">
                    <a:pos x="49" y="5"/>
                  </a:cxn>
                  <a:cxn ang="0">
                    <a:pos x="46" y="8"/>
                  </a:cxn>
                  <a:cxn ang="0">
                    <a:pos x="45" y="11"/>
                  </a:cxn>
                  <a:cxn ang="0">
                    <a:pos x="42" y="14"/>
                  </a:cxn>
                  <a:cxn ang="0">
                    <a:pos x="0" y="119"/>
                  </a:cxn>
                </a:cxnLst>
                <a:rect l="0" t="0" r="r" b="b"/>
                <a:pathLst>
                  <a:path w="152" h="119">
                    <a:moveTo>
                      <a:pt x="0" y="119"/>
                    </a:moveTo>
                    <a:lnTo>
                      <a:pt x="152" y="119"/>
                    </a:lnTo>
                    <a:lnTo>
                      <a:pt x="152" y="0"/>
                    </a:lnTo>
                    <a:lnTo>
                      <a:pt x="66" y="0"/>
                    </a:lnTo>
                    <a:lnTo>
                      <a:pt x="59" y="0"/>
                    </a:lnTo>
                    <a:lnTo>
                      <a:pt x="56" y="2"/>
                    </a:lnTo>
                    <a:lnTo>
                      <a:pt x="53" y="3"/>
                    </a:lnTo>
                    <a:lnTo>
                      <a:pt x="49" y="5"/>
                    </a:lnTo>
                    <a:lnTo>
                      <a:pt x="46" y="8"/>
                    </a:lnTo>
                    <a:lnTo>
                      <a:pt x="45" y="11"/>
                    </a:lnTo>
                    <a:lnTo>
                      <a:pt x="42" y="14"/>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7" name="Rectangle 26"/>
              <xdr:cNvSpPr>
                <a:spLocks noChangeArrowheads="1"/>
              </xdr:cNvSpPr>
            </xdr:nvSpPr>
            <xdr:spPr bwMode="auto">
              <a:xfrm>
                <a:off x="3418" y="2275"/>
                <a:ext cx="67"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8" name="Rectangle 27"/>
              <xdr:cNvSpPr>
                <a:spLocks noChangeArrowheads="1"/>
              </xdr:cNvSpPr>
            </xdr:nvSpPr>
            <xdr:spPr bwMode="auto">
              <a:xfrm>
                <a:off x="3578"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29" name="Rectangle 28"/>
              <xdr:cNvSpPr>
                <a:spLocks noChangeArrowheads="1"/>
              </xdr:cNvSpPr>
            </xdr:nvSpPr>
            <xdr:spPr bwMode="auto">
              <a:xfrm>
                <a:off x="3664" y="2265"/>
                <a:ext cx="68" cy="59"/>
              </a:xfrm>
              <a:prstGeom prst="rect">
                <a:avLst/>
              </a:prstGeom>
              <a:grpFill/>
              <a:ln w="9525">
                <a:noFill/>
                <a:miter lim="800000"/>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sp macro="" textlink="">
            <xdr:nvSpPr>
              <xdr:cNvPr id="30" name="Freeform 29"/>
              <xdr:cNvSpPr>
                <a:spLocks/>
              </xdr:cNvSpPr>
            </xdr:nvSpPr>
            <xdr:spPr bwMode="auto">
              <a:xfrm>
                <a:off x="3749" y="2265"/>
                <a:ext cx="75" cy="59"/>
              </a:xfrm>
              <a:custGeom>
                <a:avLst/>
                <a:gdLst/>
                <a:ahLst/>
                <a:cxnLst>
                  <a:cxn ang="0">
                    <a:pos x="0" y="119"/>
                  </a:cxn>
                  <a:cxn ang="0">
                    <a:pos x="150" y="119"/>
                  </a:cxn>
                  <a:cxn ang="0">
                    <a:pos x="108" y="0"/>
                  </a:cxn>
                  <a:cxn ang="0">
                    <a:pos x="0" y="0"/>
                  </a:cxn>
                  <a:cxn ang="0">
                    <a:pos x="0" y="119"/>
                  </a:cxn>
                </a:cxnLst>
                <a:rect l="0" t="0" r="r" b="b"/>
                <a:pathLst>
                  <a:path w="150" h="119">
                    <a:moveTo>
                      <a:pt x="0" y="119"/>
                    </a:moveTo>
                    <a:lnTo>
                      <a:pt x="150" y="119"/>
                    </a:lnTo>
                    <a:lnTo>
                      <a:pt x="108" y="0"/>
                    </a:lnTo>
                    <a:lnTo>
                      <a:pt x="0" y="0"/>
                    </a:lnTo>
                    <a:lnTo>
                      <a:pt x="0" y="119"/>
                    </a:lnTo>
                    <a:close/>
                  </a:path>
                </a:pathLst>
              </a:custGeom>
              <a:grpFill/>
              <a:ln w="9525">
                <a:noFill/>
                <a:round/>
                <a:headEnd/>
                <a:tailEnd/>
              </a:ln>
            </xdr:spPr>
            <xdr:txBody>
              <a:bodyPr wrap="square"/>
              <a:lstStyle>
                <a:defPPr>
                  <a:defRPr lang="de-DE"/>
                </a:defPPr>
                <a:lvl1pPr algn="l" rtl="0" fontAlgn="base">
                  <a:spcBef>
                    <a:spcPct val="0"/>
                  </a:spcBef>
                  <a:spcAft>
                    <a:spcPct val="0"/>
                  </a:spcAft>
                  <a:defRPr sz="1300" b="1" kern="1200">
                    <a:solidFill>
                      <a:schemeClr val="tx1"/>
                    </a:solidFill>
                    <a:latin typeface="Arial Narrow" charset="0"/>
                    <a:ea typeface="+mn-ea"/>
                    <a:cs typeface="+mn-cs"/>
                  </a:defRPr>
                </a:lvl1pPr>
                <a:lvl2pPr marL="457200" algn="l" rtl="0" fontAlgn="base">
                  <a:spcBef>
                    <a:spcPct val="0"/>
                  </a:spcBef>
                  <a:spcAft>
                    <a:spcPct val="0"/>
                  </a:spcAft>
                  <a:defRPr sz="1300" b="1" kern="1200">
                    <a:solidFill>
                      <a:schemeClr val="tx1"/>
                    </a:solidFill>
                    <a:latin typeface="Arial Narrow" charset="0"/>
                    <a:ea typeface="+mn-ea"/>
                    <a:cs typeface="+mn-cs"/>
                  </a:defRPr>
                </a:lvl2pPr>
                <a:lvl3pPr marL="914400" algn="l" rtl="0" fontAlgn="base">
                  <a:spcBef>
                    <a:spcPct val="0"/>
                  </a:spcBef>
                  <a:spcAft>
                    <a:spcPct val="0"/>
                  </a:spcAft>
                  <a:defRPr sz="1300" b="1" kern="1200">
                    <a:solidFill>
                      <a:schemeClr val="tx1"/>
                    </a:solidFill>
                    <a:latin typeface="Arial Narrow" charset="0"/>
                    <a:ea typeface="+mn-ea"/>
                    <a:cs typeface="+mn-cs"/>
                  </a:defRPr>
                </a:lvl3pPr>
                <a:lvl4pPr marL="1371600" algn="l" rtl="0" fontAlgn="base">
                  <a:spcBef>
                    <a:spcPct val="0"/>
                  </a:spcBef>
                  <a:spcAft>
                    <a:spcPct val="0"/>
                  </a:spcAft>
                  <a:defRPr sz="1300" b="1" kern="1200">
                    <a:solidFill>
                      <a:schemeClr val="tx1"/>
                    </a:solidFill>
                    <a:latin typeface="Arial Narrow" charset="0"/>
                    <a:ea typeface="+mn-ea"/>
                    <a:cs typeface="+mn-cs"/>
                  </a:defRPr>
                </a:lvl4pPr>
                <a:lvl5pPr marL="1828800" algn="l" rtl="0" fontAlgn="base">
                  <a:spcBef>
                    <a:spcPct val="0"/>
                  </a:spcBef>
                  <a:spcAft>
                    <a:spcPct val="0"/>
                  </a:spcAft>
                  <a:defRPr sz="1300" b="1" kern="1200">
                    <a:solidFill>
                      <a:schemeClr val="tx1"/>
                    </a:solidFill>
                    <a:latin typeface="Arial Narrow" charset="0"/>
                    <a:ea typeface="+mn-ea"/>
                    <a:cs typeface="+mn-cs"/>
                  </a:defRPr>
                </a:lvl5pPr>
                <a:lvl6pPr marL="2286000" algn="l" defTabSz="914400" rtl="0" eaLnBrk="1" latinLnBrk="0" hangingPunct="1">
                  <a:defRPr sz="1300" b="1" kern="1200">
                    <a:solidFill>
                      <a:schemeClr val="tx1"/>
                    </a:solidFill>
                    <a:latin typeface="Arial Narrow" charset="0"/>
                    <a:ea typeface="+mn-ea"/>
                    <a:cs typeface="+mn-cs"/>
                  </a:defRPr>
                </a:lvl6pPr>
                <a:lvl7pPr marL="2743200" algn="l" defTabSz="914400" rtl="0" eaLnBrk="1" latinLnBrk="0" hangingPunct="1">
                  <a:defRPr sz="1300" b="1" kern="1200">
                    <a:solidFill>
                      <a:schemeClr val="tx1"/>
                    </a:solidFill>
                    <a:latin typeface="Arial Narrow" charset="0"/>
                    <a:ea typeface="+mn-ea"/>
                    <a:cs typeface="+mn-cs"/>
                  </a:defRPr>
                </a:lvl7pPr>
                <a:lvl8pPr marL="3200400" algn="l" defTabSz="914400" rtl="0" eaLnBrk="1" latinLnBrk="0" hangingPunct="1">
                  <a:defRPr sz="1300" b="1" kern="1200">
                    <a:solidFill>
                      <a:schemeClr val="tx1"/>
                    </a:solidFill>
                    <a:latin typeface="Arial Narrow" charset="0"/>
                    <a:ea typeface="+mn-ea"/>
                    <a:cs typeface="+mn-cs"/>
                  </a:defRPr>
                </a:lvl8pPr>
                <a:lvl9pPr marL="3657600" algn="l" defTabSz="914400" rtl="0" eaLnBrk="1" latinLnBrk="0" hangingPunct="1">
                  <a:defRPr sz="1300" b="1" kern="1200">
                    <a:solidFill>
                      <a:schemeClr val="tx1"/>
                    </a:solidFill>
                    <a:latin typeface="Arial Narrow" charset="0"/>
                    <a:ea typeface="+mn-ea"/>
                    <a:cs typeface="+mn-cs"/>
                  </a:defRPr>
                </a:lvl9pPr>
              </a:lstStyle>
              <a:p>
                <a:endParaRPr lang="en-US"/>
              </a:p>
            </xdr:txBody>
          </xdr:sp>
        </xdr:grpSp>
      </xdr:grpSp>
      <xdr:pic>
        <xdr:nvPicPr>
          <xdr:cNvPr id="22" name="Picture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36374" y="2538484"/>
            <a:ext cx="644081" cy="335184"/>
          </a:xfrm>
          <a:prstGeom prst="rect">
            <a:avLst/>
          </a:prstGeom>
        </xdr:spPr>
      </xdr:pic>
    </xdr:grpSp>
    <xdr:clientData/>
  </xdr:twoCellAnchor>
  <xdr:twoCellAnchor>
    <xdr:from>
      <xdr:col>11</xdr:col>
      <xdr:colOff>304800</xdr:colOff>
      <xdr:row>70</xdr:row>
      <xdr:rowOff>89807</xdr:rowOff>
    </xdr:from>
    <xdr:to>
      <xdr:col>20</xdr:col>
      <xdr:colOff>489857</xdr:colOff>
      <xdr:row>92</xdr:row>
      <xdr:rowOff>43542</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318654</xdr:colOff>
      <xdr:row>95</xdr:row>
      <xdr:rowOff>133351</xdr:rowOff>
    </xdr:from>
    <xdr:to>
      <xdr:col>20</xdr:col>
      <xdr:colOff>503711</xdr:colOff>
      <xdr:row>116</xdr:row>
      <xdr:rowOff>626919</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466600</xdr:colOff>
      <xdr:row>2</xdr:row>
      <xdr:rowOff>76200</xdr:rowOff>
    </xdr:from>
    <xdr:to>
      <xdr:col>20</xdr:col>
      <xdr:colOff>734166</xdr:colOff>
      <xdr:row>2</xdr:row>
      <xdr:rowOff>438494</xdr:rowOff>
    </xdr:to>
    <xdr:sp macro="" textlink="">
      <xdr:nvSpPr>
        <xdr:cNvPr id="33" name="Rounded Rectangle 32">
          <a:hlinkClick xmlns:r="http://schemas.openxmlformats.org/officeDocument/2006/relationships" r:id="rId9"/>
        </xdr:cNvPr>
        <xdr:cNvSpPr/>
      </xdr:nvSpPr>
      <xdr:spPr>
        <a:xfrm>
          <a:off x="14833764" y="242455"/>
          <a:ext cx="1736147" cy="362294"/>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536567</xdr:colOff>
      <xdr:row>2</xdr:row>
      <xdr:rowOff>84609</xdr:rowOff>
    </xdr:from>
    <xdr:to>
      <xdr:col>19</xdr:col>
      <xdr:colOff>692096</xdr:colOff>
      <xdr:row>2</xdr:row>
      <xdr:rowOff>457788</xdr:rowOff>
    </xdr:to>
    <xdr:sp macro="" textlink="">
      <xdr:nvSpPr>
        <xdr:cNvPr id="2" name="Rounded Rectangle 1">
          <a:hlinkClick xmlns:r="http://schemas.openxmlformats.org/officeDocument/2006/relationships" r:id="rId1"/>
        </xdr:cNvPr>
        <xdr:cNvSpPr/>
      </xdr:nvSpPr>
      <xdr:spPr>
        <a:xfrm>
          <a:off x="16468229" y="248732"/>
          <a:ext cx="1726421" cy="373179"/>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16648</xdr:colOff>
      <xdr:row>3</xdr:row>
      <xdr:rowOff>32658</xdr:rowOff>
    </xdr:from>
    <xdr:to>
      <xdr:col>3</xdr:col>
      <xdr:colOff>1752795</xdr:colOff>
      <xdr:row>4</xdr:row>
      <xdr:rowOff>24838</xdr:rowOff>
    </xdr:to>
    <xdr:sp macro="" textlink="">
      <xdr:nvSpPr>
        <xdr:cNvPr id="3" name="Rounded Rectangle 2">
          <a:hlinkClick xmlns:r="http://schemas.openxmlformats.org/officeDocument/2006/relationships" r:id="rId1"/>
        </xdr:cNvPr>
        <xdr:cNvSpPr/>
      </xdr:nvSpPr>
      <xdr:spPr>
        <a:xfrm>
          <a:off x="411095" y="373317"/>
          <a:ext cx="1736147" cy="359733"/>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552583</xdr:colOff>
      <xdr:row>16</xdr:row>
      <xdr:rowOff>22860</xdr:rowOff>
    </xdr:from>
    <xdr:to>
      <xdr:col>7</xdr:col>
      <xdr:colOff>165868</xdr:colOff>
      <xdr:row>16</xdr:row>
      <xdr:rowOff>236220</xdr:rowOff>
    </xdr:to>
    <xdr:sp macro="" textlink="">
      <xdr:nvSpPr>
        <xdr:cNvPr id="3" name="Down Arrow 2"/>
        <xdr:cNvSpPr/>
      </xdr:nvSpPr>
      <xdr:spPr>
        <a:xfrm rot="16200000">
          <a:off x="6311760" y="2093890"/>
          <a:ext cx="213360" cy="832485"/>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5</xdr:col>
      <xdr:colOff>552584</xdr:colOff>
      <xdr:row>14</xdr:row>
      <xdr:rowOff>22860</xdr:rowOff>
    </xdr:from>
    <xdr:to>
      <xdr:col>7</xdr:col>
      <xdr:colOff>161106</xdr:colOff>
      <xdr:row>14</xdr:row>
      <xdr:rowOff>236220</xdr:rowOff>
    </xdr:to>
    <xdr:sp macro="" textlink="">
      <xdr:nvSpPr>
        <xdr:cNvPr id="4" name="Down Arrow 3"/>
        <xdr:cNvSpPr/>
      </xdr:nvSpPr>
      <xdr:spPr>
        <a:xfrm rot="16200000">
          <a:off x="6309379" y="1780962"/>
          <a:ext cx="213360" cy="827722"/>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5</xdr:col>
      <xdr:colOff>541490</xdr:colOff>
      <xdr:row>8</xdr:row>
      <xdr:rowOff>143515</xdr:rowOff>
    </xdr:from>
    <xdr:to>
      <xdr:col>8</xdr:col>
      <xdr:colOff>141889</xdr:colOff>
      <xdr:row>14</xdr:row>
      <xdr:rowOff>42038</xdr:rowOff>
    </xdr:to>
    <xdr:sp macro="" textlink="">
      <xdr:nvSpPr>
        <xdr:cNvPr id="5" name="Bent-Up Arrow 4"/>
        <xdr:cNvSpPr/>
      </xdr:nvSpPr>
      <xdr:spPr>
        <a:xfrm flipV="1">
          <a:off x="5991104" y="1446798"/>
          <a:ext cx="1429199" cy="660523"/>
        </a:xfrm>
        <a:prstGeom prst="bentUpArrow">
          <a:avLst>
            <a:gd name="adj1" fmla="val 13854"/>
            <a:gd name="adj2" fmla="val 17447"/>
            <a:gd name="adj3" fmla="val 18834"/>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marL="0" indent="0" algn="l"/>
          <a:endParaRPr lang="ro-RO" sz="1100">
            <a:solidFill>
              <a:schemeClr val="lt1"/>
            </a:solidFill>
            <a:latin typeface="+mn-lt"/>
            <a:ea typeface="+mn-ea"/>
            <a:cs typeface="+mn-cs"/>
          </a:endParaRPr>
        </a:p>
      </xdr:txBody>
    </xdr:sp>
    <xdr:clientData/>
  </xdr:twoCellAnchor>
  <xdr:twoCellAnchor>
    <xdr:from>
      <xdr:col>5</xdr:col>
      <xdr:colOff>640491</xdr:colOff>
      <xdr:row>46</xdr:row>
      <xdr:rowOff>17953</xdr:rowOff>
    </xdr:from>
    <xdr:to>
      <xdr:col>7</xdr:col>
      <xdr:colOff>152403</xdr:colOff>
      <xdr:row>46</xdr:row>
      <xdr:rowOff>231313</xdr:rowOff>
    </xdr:to>
    <xdr:sp macro="" textlink="">
      <xdr:nvSpPr>
        <xdr:cNvPr id="9" name="Down Arrow 8"/>
        <xdr:cNvSpPr/>
      </xdr:nvSpPr>
      <xdr:spPr>
        <a:xfrm rot="16200000">
          <a:off x="6977783" y="16863046"/>
          <a:ext cx="213360" cy="1117973"/>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5</xdr:col>
      <xdr:colOff>690282</xdr:colOff>
      <xdr:row>42</xdr:row>
      <xdr:rowOff>92749</xdr:rowOff>
    </xdr:from>
    <xdr:to>
      <xdr:col>7</xdr:col>
      <xdr:colOff>397567</xdr:colOff>
      <xdr:row>46</xdr:row>
      <xdr:rowOff>102054</xdr:rowOff>
    </xdr:to>
    <xdr:sp macro="" textlink="">
      <xdr:nvSpPr>
        <xdr:cNvPr id="10" name="Bent-Up Arrow 9"/>
        <xdr:cNvSpPr/>
      </xdr:nvSpPr>
      <xdr:spPr>
        <a:xfrm flipV="1">
          <a:off x="6592318" y="16482676"/>
          <a:ext cx="1314413" cy="618905"/>
        </a:xfrm>
        <a:prstGeom prst="bentUpArrow">
          <a:avLst>
            <a:gd name="adj1" fmla="val 13854"/>
            <a:gd name="adj2" fmla="val 17447"/>
            <a:gd name="adj3" fmla="val 18834"/>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marL="0" indent="0" algn="l"/>
          <a:endParaRPr lang="ro-RO" sz="1100">
            <a:solidFill>
              <a:schemeClr val="lt1"/>
            </a:solidFill>
            <a:latin typeface="+mn-lt"/>
            <a:ea typeface="+mn-ea"/>
            <a:cs typeface="+mn-cs"/>
          </a:endParaRPr>
        </a:p>
      </xdr:txBody>
    </xdr:sp>
    <xdr:clientData/>
  </xdr:twoCellAnchor>
  <xdr:twoCellAnchor>
    <xdr:from>
      <xdr:col>5</xdr:col>
      <xdr:colOff>690282</xdr:colOff>
      <xdr:row>46</xdr:row>
      <xdr:rowOff>187570</xdr:rowOff>
    </xdr:from>
    <xdr:to>
      <xdr:col>7</xdr:col>
      <xdr:colOff>397567</xdr:colOff>
      <xdr:row>50</xdr:row>
      <xdr:rowOff>172263</xdr:rowOff>
    </xdr:to>
    <xdr:sp macro="" textlink="">
      <xdr:nvSpPr>
        <xdr:cNvPr id="11" name="Bent-Up Arrow 10"/>
        <xdr:cNvSpPr/>
      </xdr:nvSpPr>
      <xdr:spPr>
        <a:xfrm>
          <a:off x="6575267" y="17484970"/>
          <a:ext cx="1313346" cy="606016"/>
        </a:xfrm>
        <a:prstGeom prst="bentUpArrow">
          <a:avLst>
            <a:gd name="adj1" fmla="val 13854"/>
            <a:gd name="adj2" fmla="val 17447"/>
            <a:gd name="adj3" fmla="val 18834"/>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marL="0" indent="0" algn="l"/>
          <a:endParaRPr lang="ro-RO" sz="1100">
            <a:solidFill>
              <a:schemeClr val="lt1"/>
            </a:solidFill>
            <a:latin typeface="+mn-lt"/>
            <a:ea typeface="+mn-ea"/>
            <a:cs typeface="+mn-cs"/>
          </a:endParaRPr>
        </a:p>
      </xdr:txBody>
    </xdr:sp>
    <xdr:clientData/>
  </xdr:twoCellAnchor>
  <xdr:twoCellAnchor>
    <xdr:from>
      <xdr:col>3</xdr:col>
      <xdr:colOff>0</xdr:colOff>
      <xdr:row>2</xdr:row>
      <xdr:rowOff>152400</xdr:rowOff>
    </xdr:from>
    <xdr:to>
      <xdr:col>3</xdr:col>
      <xdr:colOff>1736147</xdr:colOff>
      <xdr:row>5</xdr:row>
      <xdr:rowOff>344</xdr:rowOff>
    </xdr:to>
    <xdr:sp macro="" textlink="">
      <xdr:nvSpPr>
        <xdr:cNvPr id="12" name="Rounded Rectangle 11">
          <a:hlinkClick xmlns:r="http://schemas.openxmlformats.org/officeDocument/2006/relationships" r:id="rId1"/>
        </xdr:cNvPr>
        <xdr:cNvSpPr/>
      </xdr:nvSpPr>
      <xdr:spPr>
        <a:xfrm>
          <a:off x="285750" y="304800"/>
          <a:ext cx="1736147" cy="362294"/>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652796</xdr:colOff>
      <xdr:row>35</xdr:row>
      <xdr:rowOff>193970</xdr:rowOff>
    </xdr:from>
    <xdr:to>
      <xdr:col>10</xdr:col>
      <xdr:colOff>153090</xdr:colOff>
      <xdr:row>36</xdr:row>
      <xdr:rowOff>193970</xdr:rowOff>
    </xdr:to>
    <xdr:sp macro="" textlink="">
      <xdr:nvSpPr>
        <xdr:cNvPr id="6" name="Down Arrow 5"/>
        <xdr:cNvSpPr/>
      </xdr:nvSpPr>
      <xdr:spPr>
        <a:xfrm rot="16200000">
          <a:off x="8812652" y="78389496"/>
          <a:ext cx="387927" cy="968876"/>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6</xdr:col>
      <xdr:colOff>484099</xdr:colOff>
      <xdr:row>27</xdr:row>
      <xdr:rowOff>23448</xdr:rowOff>
    </xdr:from>
    <xdr:to>
      <xdr:col>8</xdr:col>
      <xdr:colOff>52758</xdr:colOff>
      <xdr:row>27</xdr:row>
      <xdr:rowOff>360814</xdr:rowOff>
    </xdr:to>
    <xdr:sp macro="" textlink="">
      <xdr:nvSpPr>
        <xdr:cNvPr id="7" name="Down Arrow 6"/>
        <xdr:cNvSpPr/>
      </xdr:nvSpPr>
      <xdr:spPr>
        <a:xfrm rot="16200000">
          <a:off x="5978576" y="1699391"/>
          <a:ext cx="146866" cy="787859"/>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6</xdr:col>
      <xdr:colOff>476562</xdr:colOff>
      <xdr:row>27</xdr:row>
      <xdr:rowOff>35171</xdr:rowOff>
    </xdr:from>
    <xdr:to>
      <xdr:col>8</xdr:col>
      <xdr:colOff>45221</xdr:colOff>
      <xdr:row>27</xdr:row>
      <xdr:rowOff>372537</xdr:rowOff>
    </xdr:to>
    <xdr:sp macro="" textlink="">
      <xdr:nvSpPr>
        <xdr:cNvPr id="8" name="Down Arrow 7"/>
        <xdr:cNvSpPr/>
      </xdr:nvSpPr>
      <xdr:spPr>
        <a:xfrm rot="16200000">
          <a:off x="5978659" y="1703494"/>
          <a:ext cx="131626" cy="787859"/>
        </a:xfrm>
        <a:prstGeom prst="down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3</xdr:col>
      <xdr:colOff>293370</xdr:colOff>
      <xdr:row>2</xdr:row>
      <xdr:rowOff>144780</xdr:rowOff>
    </xdr:from>
    <xdr:to>
      <xdr:col>4</xdr:col>
      <xdr:colOff>1724717</xdr:colOff>
      <xdr:row>5</xdr:row>
      <xdr:rowOff>4154</xdr:rowOff>
    </xdr:to>
    <xdr:sp macro="" textlink="">
      <xdr:nvSpPr>
        <xdr:cNvPr id="10" name="Rounded Rectangle 9">
          <a:hlinkClick xmlns:r="http://schemas.openxmlformats.org/officeDocument/2006/relationships" r:id="rId1"/>
        </xdr:cNvPr>
        <xdr:cNvSpPr/>
      </xdr:nvSpPr>
      <xdr:spPr>
        <a:xfrm>
          <a:off x="590550" y="297180"/>
          <a:ext cx="1736147" cy="362294"/>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22562</xdr:colOff>
      <xdr:row>2</xdr:row>
      <xdr:rowOff>137987</xdr:rowOff>
    </xdr:from>
    <xdr:to>
      <xdr:col>5</xdr:col>
      <xdr:colOff>375234</xdr:colOff>
      <xdr:row>2</xdr:row>
      <xdr:rowOff>500281</xdr:rowOff>
    </xdr:to>
    <xdr:sp macro="" textlink="">
      <xdr:nvSpPr>
        <xdr:cNvPr id="2" name="Rounded Rectangle 1">
          <a:hlinkClick xmlns:r="http://schemas.openxmlformats.org/officeDocument/2006/relationships" r:id="rId1"/>
        </xdr:cNvPr>
        <xdr:cNvSpPr/>
      </xdr:nvSpPr>
      <xdr:spPr>
        <a:xfrm>
          <a:off x="798417" y="304242"/>
          <a:ext cx="1738126" cy="362294"/>
        </a:xfrm>
        <a:prstGeom prst="roundRect">
          <a:avLst/>
        </a:prstGeom>
        <a:scene3d>
          <a:camera prst="orthographicFront"/>
          <a:lightRig rig="threePt" dir="t"/>
        </a:scene3d>
        <a:sp3d prstMaterial="dkEdge">
          <a:bevelT/>
        </a:sp3d>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en-US" sz="1300" b="1">
              <a:effectLst>
                <a:glow rad="228600">
                  <a:schemeClr val="accent3">
                    <a:satMod val="175000"/>
                    <a:alpha val="40000"/>
                  </a:schemeClr>
                </a:glow>
              </a:effectLst>
              <a:latin typeface="Arial" pitchFamily="34" charset="0"/>
              <a:cs typeface="Arial" pitchFamily="34" charset="0"/>
            </a:rPr>
            <a:t>Back</a:t>
          </a:r>
          <a:r>
            <a:rPr lang="en-US" sz="1300" b="1" baseline="0">
              <a:effectLst>
                <a:glow rad="228600">
                  <a:schemeClr val="accent3">
                    <a:satMod val="175000"/>
                    <a:alpha val="40000"/>
                  </a:schemeClr>
                </a:glow>
              </a:effectLst>
              <a:latin typeface="Arial" pitchFamily="34" charset="0"/>
              <a:cs typeface="Arial" pitchFamily="34" charset="0"/>
            </a:rPr>
            <a:t> to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ragos_fundulea\Desktop\parcareliftacc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leonora.Vihta\AppData\Local\Microsoft\Windows\Temporary%20Internet%20Files\Content.Outlook\N1KRIXE7\CENTRALIZATOR_SEGMENTARE%20-%2016%2002%202012%20parcareliftacces%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are"/>
      <sheetName val="Sheet2"/>
      <sheetName val="nu se sterge"/>
    </sheetNames>
    <sheetDataSet>
      <sheetData sheetId="0" refreshError="1"/>
      <sheetData sheetId="1" refreshError="1"/>
      <sheetData sheetId="2">
        <row r="1">
          <cell r="K1" t="str">
            <v>DA</v>
          </cell>
        </row>
        <row r="2">
          <cell r="H2" t="str">
            <v>Boulevard</v>
          </cell>
          <cell r="I2" t="str">
            <v>corner</v>
          </cell>
          <cell r="K2" t="str">
            <v>NU</v>
          </cell>
        </row>
        <row r="3">
          <cell r="H3" t="str">
            <v>"Sosea"</v>
          </cell>
          <cell r="I3" t="str">
            <v>Double but not corner</v>
          </cell>
        </row>
        <row r="4">
          <cell r="H4" t="str">
            <v>"Cale"</v>
          </cell>
          <cell r="I4" t="str">
            <v>Simple</v>
          </cell>
        </row>
        <row r="5">
          <cell r="H5" t="str">
            <v>"Strada"</v>
          </cell>
        </row>
        <row r="6">
          <cell r="H6" t="str">
            <v>"Alee"</v>
          </cell>
        </row>
        <row r="7">
          <cell r="H7" t="str">
            <v>Square</v>
          </cell>
        </row>
        <row r="8">
          <cell r="H8" t="str">
            <v>Other</v>
          </cell>
        </row>
        <row r="9">
          <cell r="H9" t="str">
            <v>Other</v>
          </cell>
        </row>
        <row r="10">
          <cell r="H10"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are"/>
      <sheetName val="Sheet2"/>
      <sheetName val="nu se sterge"/>
    </sheetNames>
    <sheetDataSet>
      <sheetData sheetId="0" refreshError="1"/>
      <sheetData sheetId="1" refreshError="1"/>
      <sheetData sheetId="2" refreshError="1">
        <row r="1">
          <cell r="K1" t="str">
            <v>DA</v>
          </cell>
        </row>
        <row r="2">
          <cell r="K2" t="str">
            <v>NU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pageSetUpPr fitToPage="1"/>
  </sheetPr>
  <dimension ref="A1:G38"/>
  <sheetViews>
    <sheetView showGridLines="0" showRowColHeaders="0" tabSelected="1" zoomScale="80" zoomScaleNormal="80" workbookViewId="0">
      <selection activeCell="D30" sqref="D30"/>
    </sheetView>
  </sheetViews>
  <sheetFormatPr defaultColWidth="0" defaultRowHeight="14.25" zeroHeight="1" x14ac:dyDescent="0.2"/>
  <cols>
    <col min="1" max="1" width="0.85546875" style="526" customWidth="1"/>
    <col min="2" max="2" width="0.42578125" style="527" customWidth="1"/>
    <col min="3" max="3" width="0.85546875" style="526" customWidth="1"/>
    <col min="4" max="4" width="11.5703125" style="519" customWidth="1"/>
    <col min="5" max="5" width="94.42578125" style="519" customWidth="1"/>
    <col min="6" max="6" width="25.7109375" style="519" customWidth="1"/>
    <col min="7" max="7" width="9.140625" style="519" customWidth="1"/>
    <col min="8" max="16384" width="9.140625" style="519" hidden="1"/>
  </cols>
  <sheetData>
    <row r="1" spans="1:6" s="526" customFormat="1" ht="4.5" customHeight="1" x14ac:dyDescent="0.25">
      <c r="A1" s="526" t="s">
        <v>329</v>
      </c>
      <c r="B1" s="527"/>
    </row>
    <row r="2" spans="1:6" s="527" customFormat="1" ht="2.25" customHeight="1" x14ac:dyDescent="0.25"/>
    <row r="3" spans="1:6" s="526" customFormat="1" ht="4.5" customHeight="1" x14ac:dyDescent="0.25">
      <c r="B3" s="527"/>
    </row>
    <row r="4" spans="1:6" ht="78" customHeight="1" x14ac:dyDescent="0.2">
      <c r="A4" s="528"/>
      <c r="B4" s="529"/>
      <c r="C4" s="528"/>
      <c r="D4" s="538"/>
      <c r="E4" s="686" t="s">
        <v>452</v>
      </c>
      <c r="F4" s="686"/>
    </row>
    <row r="5" spans="1:6" s="520" customFormat="1" ht="21.6" customHeight="1" x14ac:dyDescent="0.25">
      <c r="A5" s="528"/>
      <c r="B5" s="529"/>
      <c r="C5" s="528"/>
      <c r="E5" s="521"/>
      <c r="F5" s="522"/>
    </row>
    <row r="6" spans="1:6" s="520" customFormat="1" ht="22.15" customHeight="1" x14ac:dyDescent="0.25">
      <c r="A6" s="528"/>
      <c r="B6" s="529"/>
      <c r="C6" s="528"/>
      <c r="E6" s="523" t="s">
        <v>324</v>
      </c>
      <c r="F6" s="524" t="s">
        <v>325</v>
      </c>
    </row>
    <row r="7" spans="1:6" s="537" customFormat="1" ht="25.15" customHeight="1" x14ac:dyDescent="0.25">
      <c r="A7" s="530"/>
      <c r="B7" s="531"/>
      <c r="C7" s="530"/>
      <c r="E7" s="536" t="s">
        <v>432</v>
      </c>
      <c r="F7" s="535"/>
    </row>
    <row r="8" spans="1:6" s="525" customFormat="1" ht="25.15" customHeight="1" x14ac:dyDescent="0.25">
      <c r="A8" s="526"/>
      <c r="B8" s="527"/>
      <c r="C8" s="526"/>
      <c r="E8" s="536" t="s">
        <v>433</v>
      </c>
      <c r="F8" s="535"/>
    </row>
    <row r="9" spans="1:6" ht="25.15" customHeight="1" x14ac:dyDescent="0.25">
      <c r="A9" s="532"/>
      <c r="B9" s="533"/>
      <c r="C9" s="532"/>
      <c r="E9" s="536" t="s">
        <v>400</v>
      </c>
      <c r="F9" s="535"/>
    </row>
    <row r="10" spans="1:6" ht="25.15" customHeight="1" x14ac:dyDescent="0.25">
      <c r="A10" s="532"/>
      <c r="B10" s="533"/>
      <c r="C10" s="532"/>
      <c r="E10" s="667" t="s">
        <v>401</v>
      </c>
      <c r="F10" s="535"/>
    </row>
    <row r="11" spans="1:6" ht="25.15" hidden="1" customHeight="1" x14ac:dyDescent="0.25">
      <c r="E11" s="539" t="s">
        <v>326</v>
      </c>
      <c r="F11" s="535"/>
    </row>
    <row r="12" spans="1:6" ht="25.15" hidden="1" customHeight="1" x14ac:dyDescent="0.25">
      <c r="E12" s="539" t="s">
        <v>330</v>
      </c>
      <c r="F12" s="535"/>
    </row>
    <row r="13" spans="1:6" ht="10.15" hidden="1" customHeight="1" x14ac:dyDescent="0.25">
      <c r="E13" s="540"/>
      <c r="F13"/>
    </row>
    <row r="14" spans="1:6" ht="19.899999999999999" hidden="1" customHeight="1" x14ac:dyDescent="0.25">
      <c r="A14" s="532"/>
      <c r="B14" s="533"/>
      <c r="C14" s="532"/>
      <c r="E14" s="536" t="s">
        <v>327</v>
      </c>
      <c r="F14" s="535"/>
    </row>
    <row r="15" spans="1:6" ht="19.899999999999999" hidden="1" customHeight="1" x14ac:dyDescent="0.25">
      <c r="A15" s="532"/>
      <c r="B15" s="533"/>
      <c r="C15" s="532"/>
      <c r="E15" s="536" t="s">
        <v>328</v>
      </c>
      <c r="F15" s="535"/>
    </row>
    <row r="16" spans="1:6" ht="39" customHeight="1" thickBot="1" x14ac:dyDescent="0.3">
      <c r="A16" s="532"/>
      <c r="B16" s="533"/>
      <c r="C16" s="532"/>
    </row>
    <row r="17" spans="1:6" ht="23.45" customHeight="1" thickBot="1" x14ac:dyDescent="0.3">
      <c r="A17" s="532"/>
      <c r="B17" s="533"/>
      <c r="C17" s="532"/>
      <c r="E17" s="541" t="s">
        <v>398</v>
      </c>
      <c r="F17" s="542"/>
    </row>
    <row r="18" spans="1:6" ht="11.25" customHeight="1" x14ac:dyDescent="0.2">
      <c r="A18" s="532"/>
      <c r="B18" s="533"/>
      <c r="C18" s="532"/>
      <c r="E18" s="687" t="s">
        <v>453</v>
      </c>
      <c r="F18" s="688"/>
    </row>
    <row r="19" spans="1:6" x14ac:dyDescent="0.2">
      <c r="A19" s="532"/>
      <c r="B19" s="533"/>
      <c r="C19" s="532"/>
      <c r="E19" s="689"/>
      <c r="F19" s="690"/>
    </row>
    <row r="20" spans="1:6" x14ac:dyDescent="0.2">
      <c r="A20" s="532"/>
      <c r="B20" s="533"/>
      <c r="C20" s="532"/>
      <c r="E20" s="689"/>
      <c r="F20" s="690"/>
    </row>
    <row r="21" spans="1:6" x14ac:dyDescent="0.2">
      <c r="A21" s="532"/>
      <c r="B21" s="533"/>
      <c r="C21" s="532"/>
      <c r="E21" s="689"/>
      <c r="F21" s="690"/>
    </row>
    <row r="22" spans="1:6" x14ac:dyDescent="0.2">
      <c r="A22" s="532"/>
      <c r="B22" s="533"/>
      <c r="C22" s="532"/>
      <c r="E22" s="689"/>
      <c r="F22" s="690"/>
    </row>
    <row r="23" spans="1:6" x14ac:dyDescent="0.2">
      <c r="A23" s="532"/>
      <c r="B23" s="533"/>
      <c r="C23" s="532"/>
      <c r="E23" s="689"/>
      <c r="F23" s="690"/>
    </row>
    <row r="24" spans="1:6" x14ac:dyDescent="0.2">
      <c r="E24" s="689"/>
      <c r="F24" s="690"/>
    </row>
    <row r="25" spans="1:6" x14ac:dyDescent="0.2">
      <c r="E25" s="689"/>
      <c r="F25" s="690"/>
    </row>
    <row r="26" spans="1:6" x14ac:dyDescent="0.2">
      <c r="E26" s="689"/>
      <c r="F26" s="690"/>
    </row>
    <row r="27" spans="1:6" x14ac:dyDescent="0.2">
      <c r="E27" s="689"/>
      <c r="F27" s="690"/>
    </row>
    <row r="28" spans="1:6" x14ac:dyDescent="0.2">
      <c r="E28" s="689"/>
      <c r="F28" s="690"/>
    </row>
    <row r="29" spans="1:6" x14ac:dyDescent="0.2">
      <c r="E29" s="689"/>
      <c r="F29" s="690"/>
    </row>
    <row r="30" spans="1:6" x14ac:dyDescent="0.2">
      <c r="E30" s="689"/>
      <c r="F30" s="690"/>
    </row>
    <row r="31" spans="1:6" x14ac:dyDescent="0.2">
      <c r="E31" s="689"/>
      <c r="F31" s="690"/>
    </row>
    <row r="32" spans="1:6" ht="18" customHeight="1" x14ac:dyDescent="0.2">
      <c r="E32" s="689"/>
      <c r="F32" s="690"/>
    </row>
    <row r="33" spans="5:6" ht="14.25" customHeight="1" x14ac:dyDescent="0.2">
      <c r="E33" s="689"/>
      <c r="F33" s="690"/>
    </row>
    <row r="34" spans="5:6" x14ac:dyDescent="0.2">
      <c r="E34" s="689"/>
      <c r="F34" s="690"/>
    </row>
    <row r="35" spans="5:6" x14ac:dyDescent="0.2">
      <c r="E35" s="689"/>
      <c r="F35" s="690"/>
    </row>
    <row r="36" spans="5:6" ht="9.75" customHeight="1" x14ac:dyDescent="0.2">
      <c r="E36" s="689"/>
      <c r="F36" s="690"/>
    </row>
    <row r="37" spans="5:6" ht="15" thickBot="1" x14ac:dyDescent="0.25">
      <c r="E37" s="691"/>
      <c r="F37" s="692"/>
    </row>
    <row r="38" spans="5:6" x14ac:dyDescent="0.2"/>
  </sheetData>
  <sheetProtection password="C6B3" sheet="1" objects="1" scenarios="1" selectLockedCells="1" selectUnlockedCells="1"/>
  <mergeCells count="2">
    <mergeCell ref="E4:F4"/>
    <mergeCell ref="E18:F37"/>
  </mergeCells>
  <pageMargins left="0.70866141732283472" right="0.70866141732283472" top="0.74803149606299213" bottom="0.74803149606299213" header="0.31496062992125984" footer="0.31496062992125984"/>
  <pageSetup paperSize="9" scale="84" orientation="landscape" horizontalDpi="1200" verticalDpi="1200" r:id="rId1"/>
  <headerFooter>
    <oddFooter>&amp;L&amp;F&amp;C&amp;A&amp;RPage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sheetPr>
  <dimension ref="A1:AL116"/>
  <sheetViews>
    <sheetView showGridLines="0" showRowColHeaders="0" zoomScale="50" zoomScaleNormal="50" workbookViewId="0">
      <selection activeCell="K40" sqref="K40:K41"/>
    </sheetView>
  </sheetViews>
  <sheetFormatPr defaultColWidth="0" defaultRowHeight="12.75" zeroHeight="1" x14ac:dyDescent="0.2"/>
  <cols>
    <col min="1" max="1" width="1.140625" style="4" customWidth="1"/>
    <col min="2" max="2" width="1.140625" style="15" customWidth="1"/>
    <col min="3" max="3" width="8.85546875" style="9" customWidth="1"/>
    <col min="4" max="4" width="7.42578125" customWidth="1"/>
    <col min="5" max="7" width="12.7109375" style="27" customWidth="1"/>
    <col min="8" max="8" width="18.7109375" customWidth="1"/>
    <col min="9" max="9" width="8.85546875" customWidth="1"/>
    <col min="10" max="10" width="6" bestFit="1" customWidth="1"/>
    <col min="11" max="11" width="12.7109375" style="27" customWidth="1"/>
    <col min="12" max="13" width="12.7109375" customWidth="1"/>
    <col min="14" max="14" width="18.7109375" customWidth="1"/>
    <col min="15" max="15" width="8.85546875" customWidth="1"/>
    <col min="16" max="16" width="6" bestFit="1" customWidth="1"/>
    <col min="17" max="19" width="12.7109375" customWidth="1"/>
    <col min="20" max="20" width="18.7109375" customWidth="1"/>
    <col min="21" max="21" width="8.85546875" customWidth="1"/>
    <col min="22" max="22" width="6" bestFit="1" customWidth="1"/>
    <col min="23" max="25" width="12.7109375" customWidth="1"/>
    <col min="26" max="26" width="18.7109375" customWidth="1"/>
    <col min="27" max="27" width="8.85546875" customWidth="1"/>
    <col min="28" max="28" width="6" bestFit="1" customWidth="1"/>
    <col min="29" max="31" width="12.7109375" customWidth="1"/>
    <col min="32" max="32" width="18.7109375" customWidth="1"/>
    <col min="33" max="33" width="8.85546875" style="27" customWidth="1"/>
    <col min="34" max="37" width="8.85546875" hidden="1" customWidth="1"/>
    <col min="38" max="38" width="0" hidden="1" customWidth="1"/>
    <col min="39" max="16384" width="8.85546875" hidden="1"/>
  </cols>
  <sheetData>
    <row r="1" spans="1:33" s="9" customFormat="1" ht="6.75" customHeight="1" thickBot="1" x14ac:dyDescent="0.3">
      <c r="A1" s="11"/>
      <c r="B1" s="6"/>
      <c r="C1" s="6"/>
      <c r="D1" s="6"/>
      <c r="E1" s="6"/>
      <c r="F1" s="6"/>
      <c r="G1" s="6"/>
      <c r="H1" s="6"/>
      <c r="I1" s="6"/>
      <c r="J1" s="6"/>
      <c r="K1" s="129"/>
      <c r="L1" s="6"/>
      <c r="M1" s="6"/>
      <c r="N1" s="6"/>
      <c r="O1" s="6"/>
      <c r="P1" s="6"/>
      <c r="Q1" s="6"/>
      <c r="R1" s="6"/>
      <c r="S1" s="6"/>
      <c r="T1" s="6"/>
      <c r="U1" s="6"/>
      <c r="V1" s="6"/>
      <c r="W1" s="6"/>
      <c r="X1" s="6"/>
      <c r="Y1" s="6"/>
      <c r="Z1" s="6"/>
      <c r="AA1" s="6"/>
      <c r="AB1" s="6"/>
      <c r="AC1" s="6"/>
      <c r="AD1" s="6"/>
      <c r="AE1" s="6"/>
      <c r="AF1" s="6"/>
      <c r="AG1" s="6"/>
    </row>
    <row r="2" spans="1:33" s="9" customFormat="1" ht="6.75" customHeight="1" thickTop="1" x14ac:dyDescent="0.25">
      <c r="A2" s="12"/>
      <c r="B2" s="13"/>
      <c r="C2" s="13"/>
      <c r="D2" s="13"/>
      <c r="E2" s="13"/>
      <c r="F2" s="13"/>
      <c r="G2" s="13"/>
      <c r="H2" s="13"/>
      <c r="I2" s="13"/>
      <c r="J2" s="13"/>
      <c r="K2" s="130"/>
      <c r="L2" s="13"/>
      <c r="M2" s="13"/>
      <c r="N2" s="13"/>
      <c r="O2" s="13"/>
      <c r="P2" s="13"/>
      <c r="Q2" s="13"/>
      <c r="R2" s="13"/>
      <c r="S2" s="13"/>
      <c r="T2" s="13"/>
      <c r="U2" s="13"/>
      <c r="V2" s="13"/>
      <c r="W2" s="13"/>
      <c r="X2" s="13"/>
      <c r="Y2" s="13"/>
      <c r="Z2" s="13"/>
      <c r="AA2" s="13"/>
      <c r="AB2" s="13"/>
      <c r="AC2" s="13"/>
      <c r="AD2" s="13"/>
      <c r="AE2" s="13"/>
      <c r="AF2" s="13"/>
      <c r="AG2" s="13"/>
    </row>
    <row r="3" spans="1:33" ht="52.15" customHeight="1" thickBot="1" x14ac:dyDescent="0.3"/>
    <row r="4" spans="1:33" s="29" customFormat="1" ht="32.450000000000003" customHeight="1" thickTop="1" thickBot="1" x14ac:dyDescent="0.3">
      <c r="A4" s="61"/>
      <c r="B4" s="62"/>
      <c r="D4" s="910" t="s">
        <v>321</v>
      </c>
      <c r="E4" s="911"/>
      <c r="F4" s="911"/>
      <c r="G4" s="911"/>
      <c r="H4" s="912"/>
      <c r="J4" s="910" t="s">
        <v>320</v>
      </c>
      <c r="K4" s="911"/>
      <c r="L4" s="911"/>
      <c r="M4" s="911"/>
      <c r="N4" s="912"/>
      <c r="P4" s="910" t="s">
        <v>319</v>
      </c>
      <c r="Q4" s="911"/>
      <c r="R4" s="911"/>
      <c r="S4" s="911"/>
      <c r="T4" s="912"/>
      <c r="V4" s="910" t="s">
        <v>154</v>
      </c>
      <c r="W4" s="911"/>
      <c r="X4" s="911"/>
      <c r="Y4" s="911"/>
      <c r="Z4" s="912"/>
      <c r="AB4" s="910" t="s">
        <v>155</v>
      </c>
      <c r="AC4" s="911"/>
      <c r="AD4" s="911"/>
      <c r="AE4" s="911"/>
      <c r="AF4" s="912"/>
      <c r="AG4" s="27"/>
    </row>
    <row r="5" spans="1:33" s="29" customFormat="1" ht="21.6" customHeight="1" thickTop="1" x14ac:dyDescent="0.25">
      <c r="A5" s="61"/>
      <c r="B5" s="62"/>
      <c r="D5" s="120" t="s">
        <v>61</v>
      </c>
      <c r="E5" s="121" t="s">
        <v>56</v>
      </c>
      <c r="F5" s="121" t="s">
        <v>57</v>
      </c>
      <c r="G5" s="121" t="s">
        <v>58</v>
      </c>
      <c r="H5" s="122" t="s">
        <v>2</v>
      </c>
      <c r="J5" s="120" t="s">
        <v>61</v>
      </c>
      <c r="K5" s="121" t="s">
        <v>56</v>
      </c>
      <c r="L5" s="121" t="s">
        <v>57</v>
      </c>
      <c r="M5" s="121" t="s">
        <v>58</v>
      </c>
      <c r="N5" s="122" t="s">
        <v>2</v>
      </c>
      <c r="O5"/>
      <c r="P5" s="120" t="s">
        <v>61</v>
      </c>
      <c r="Q5" s="121" t="s">
        <v>56</v>
      </c>
      <c r="R5" s="121" t="s">
        <v>57</v>
      </c>
      <c r="S5" s="121" t="s">
        <v>58</v>
      </c>
      <c r="T5" s="122" t="s">
        <v>2</v>
      </c>
      <c r="V5" s="120" t="s">
        <v>61</v>
      </c>
      <c r="W5" s="121" t="s">
        <v>56</v>
      </c>
      <c r="X5" s="121" t="s">
        <v>57</v>
      </c>
      <c r="Y5" s="121" t="s">
        <v>58</v>
      </c>
      <c r="Z5" s="122" t="s">
        <v>2</v>
      </c>
      <c r="AA5"/>
      <c r="AB5" s="120" t="s">
        <v>61</v>
      </c>
      <c r="AC5" s="121" t="s">
        <v>56</v>
      </c>
      <c r="AD5" s="121" t="s">
        <v>57</v>
      </c>
      <c r="AE5" s="121" t="s">
        <v>58</v>
      </c>
      <c r="AF5" s="122" t="s">
        <v>2</v>
      </c>
      <c r="AG5"/>
    </row>
    <row r="6" spans="1:33" s="29" customFormat="1" ht="13.15" x14ac:dyDescent="0.25">
      <c r="A6" s="61"/>
      <c r="B6" s="62"/>
      <c r="D6" s="123">
        <v>1</v>
      </c>
      <c r="E6" s="124" t="s">
        <v>59</v>
      </c>
      <c r="F6" s="127">
        <v>600</v>
      </c>
      <c r="G6" s="124">
        <v>2015</v>
      </c>
      <c r="H6" s="166">
        <v>149</v>
      </c>
      <c r="I6"/>
      <c r="J6" s="123">
        <v>1</v>
      </c>
      <c r="K6" s="124" t="s">
        <v>59</v>
      </c>
      <c r="L6" s="127">
        <v>600</v>
      </c>
      <c r="M6" s="124">
        <v>2015</v>
      </c>
      <c r="N6" s="166">
        <v>4894166.666666666</v>
      </c>
      <c r="O6"/>
      <c r="P6" s="123">
        <v>1</v>
      </c>
      <c r="Q6" s="124" t="s">
        <v>59</v>
      </c>
      <c r="R6" s="127">
        <v>600</v>
      </c>
      <c r="S6" s="124">
        <v>2015</v>
      </c>
      <c r="T6" s="166">
        <v>242500</v>
      </c>
      <c r="U6"/>
      <c r="V6" s="123">
        <v>1</v>
      </c>
      <c r="W6" s="124" t="s">
        <v>59</v>
      </c>
      <c r="X6" s="127">
        <v>600</v>
      </c>
      <c r="Y6" s="124">
        <v>2015</v>
      </c>
      <c r="Z6" s="290">
        <f>0.053343797564688*'Price evolution'!$K$36</f>
        <v>5.8678177321156806</v>
      </c>
      <c r="AA6"/>
      <c r="AB6" s="123">
        <v>1</v>
      </c>
      <c r="AC6" s="124" t="s">
        <v>59</v>
      </c>
      <c r="AD6" s="127">
        <v>600</v>
      </c>
      <c r="AE6" s="124">
        <v>2015</v>
      </c>
      <c r="AF6" s="350">
        <v>0</v>
      </c>
      <c r="AG6"/>
    </row>
    <row r="7" spans="1:33" s="29" customFormat="1" ht="13.15" x14ac:dyDescent="0.25">
      <c r="A7" s="61"/>
      <c r="B7" s="62"/>
      <c r="D7" s="123">
        <v>2</v>
      </c>
      <c r="E7" s="124" t="s">
        <v>59</v>
      </c>
      <c r="F7" s="127">
        <v>600</v>
      </c>
      <c r="G7" s="124">
        <v>2020</v>
      </c>
      <c r="H7" s="166">
        <v>140</v>
      </c>
      <c r="I7"/>
      <c r="J7" s="123">
        <v>2</v>
      </c>
      <c r="K7" s="124" t="s">
        <v>59</v>
      </c>
      <c r="L7" s="127">
        <v>600</v>
      </c>
      <c r="M7" s="124">
        <v>2020</v>
      </c>
      <c r="N7" s="166">
        <v>3768500</v>
      </c>
      <c r="O7"/>
      <c r="P7" s="123">
        <v>2</v>
      </c>
      <c r="Q7" s="124" t="s">
        <v>59</v>
      </c>
      <c r="R7" s="127">
        <v>600</v>
      </c>
      <c r="S7" s="124">
        <v>2020</v>
      </c>
      <c r="T7" s="166">
        <v>195750</v>
      </c>
      <c r="U7"/>
      <c r="V7" s="123">
        <v>2</v>
      </c>
      <c r="W7" s="124" t="s">
        <v>59</v>
      </c>
      <c r="X7" s="127">
        <v>600</v>
      </c>
      <c r="Y7" s="124">
        <v>2020</v>
      </c>
      <c r="Z7" s="290">
        <f>0.0524660705225774*'Price evolution'!$L$36</f>
        <v>6.0656604149332622</v>
      </c>
      <c r="AA7"/>
      <c r="AB7" s="123">
        <v>2</v>
      </c>
      <c r="AC7" s="124" t="s">
        <v>59</v>
      </c>
      <c r="AD7" s="127">
        <v>600</v>
      </c>
      <c r="AE7" s="124">
        <v>2020</v>
      </c>
      <c r="AF7" s="350">
        <v>0</v>
      </c>
      <c r="AG7"/>
    </row>
    <row r="8" spans="1:33" s="29" customFormat="1" ht="13.15" x14ac:dyDescent="0.25">
      <c r="A8" s="61"/>
      <c r="B8" s="62"/>
      <c r="D8" s="123">
        <v>3</v>
      </c>
      <c r="E8" s="124" t="s">
        <v>59</v>
      </c>
      <c r="F8" s="127">
        <v>600</v>
      </c>
      <c r="G8" s="124">
        <v>2025</v>
      </c>
      <c r="H8" s="166">
        <v>132</v>
      </c>
      <c r="I8"/>
      <c r="J8" s="123">
        <v>3</v>
      </c>
      <c r="K8" s="124" t="s">
        <v>59</v>
      </c>
      <c r="L8" s="127">
        <v>600</v>
      </c>
      <c r="M8" s="124">
        <v>2025</v>
      </c>
      <c r="N8" s="166">
        <v>3349975</v>
      </c>
      <c r="O8"/>
      <c r="P8" s="123">
        <v>3</v>
      </c>
      <c r="Q8" s="124" t="s">
        <v>59</v>
      </c>
      <c r="R8" s="127">
        <v>600</v>
      </c>
      <c r="S8" s="124">
        <v>2025</v>
      </c>
      <c r="T8" s="166">
        <v>173352.5</v>
      </c>
      <c r="U8"/>
      <c r="V8" s="123">
        <v>3</v>
      </c>
      <c r="W8" s="124" t="s">
        <v>59</v>
      </c>
      <c r="X8" s="127">
        <v>600</v>
      </c>
      <c r="Y8" s="124">
        <v>2025</v>
      </c>
      <c r="Z8" s="290">
        <f>0.0516343186733958*'Price evolution'!$M$36</f>
        <v>6.2740051920882518</v>
      </c>
      <c r="AA8"/>
      <c r="AB8" s="123">
        <v>3</v>
      </c>
      <c r="AC8" s="124" t="s">
        <v>59</v>
      </c>
      <c r="AD8" s="127">
        <v>600</v>
      </c>
      <c r="AE8" s="124">
        <v>2025</v>
      </c>
      <c r="AF8" s="350">
        <v>0</v>
      </c>
      <c r="AG8"/>
    </row>
    <row r="9" spans="1:33" s="29" customFormat="1" ht="13.15" x14ac:dyDescent="0.25">
      <c r="A9" s="61"/>
      <c r="B9" s="62"/>
      <c r="D9" s="123">
        <v>4</v>
      </c>
      <c r="E9" s="124" t="s">
        <v>59</v>
      </c>
      <c r="F9" s="127">
        <v>600</v>
      </c>
      <c r="G9" s="124">
        <v>2030</v>
      </c>
      <c r="H9" s="166">
        <v>125</v>
      </c>
      <c r="I9"/>
      <c r="J9" s="123">
        <v>4</v>
      </c>
      <c r="K9" s="124" t="s">
        <v>59</v>
      </c>
      <c r="L9" s="127">
        <v>600</v>
      </c>
      <c r="M9" s="124">
        <v>2030</v>
      </c>
      <c r="N9" s="166">
        <v>2979633.333333333</v>
      </c>
      <c r="O9"/>
      <c r="P9" s="123">
        <v>4</v>
      </c>
      <c r="Q9" s="124" t="s">
        <v>59</v>
      </c>
      <c r="R9" s="127">
        <v>600</v>
      </c>
      <c r="S9" s="124">
        <v>2030</v>
      </c>
      <c r="T9" s="166">
        <v>161245</v>
      </c>
      <c r="U9"/>
      <c r="V9" s="123">
        <v>4</v>
      </c>
      <c r="W9" s="124" t="s">
        <v>59</v>
      </c>
      <c r="X9" s="127">
        <v>600</v>
      </c>
      <c r="Y9" s="124">
        <v>2030</v>
      </c>
      <c r="Z9" s="290">
        <f>0.0508911276135544*'Price evolution'!$N$36</f>
        <v>6.4991321189420495</v>
      </c>
      <c r="AA9"/>
      <c r="AB9" s="123">
        <v>4</v>
      </c>
      <c r="AC9" s="124" t="s">
        <v>59</v>
      </c>
      <c r="AD9" s="127">
        <v>600</v>
      </c>
      <c r="AE9" s="124">
        <v>2030</v>
      </c>
      <c r="AF9" s="350">
        <v>0</v>
      </c>
      <c r="AG9"/>
    </row>
    <row r="10" spans="1:33" s="29" customFormat="1" ht="13.15" x14ac:dyDescent="0.25">
      <c r="A10" s="61"/>
      <c r="B10" s="62"/>
      <c r="D10" s="123">
        <v>5</v>
      </c>
      <c r="E10" s="124" t="s">
        <v>59</v>
      </c>
      <c r="F10" s="127">
        <v>1500</v>
      </c>
      <c r="G10" s="124">
        <v>2015</v>
      </c>
      <c r="H10" s="166">
        <v>328.25</v>
      </c>
      <c r="I10"/>
      <c r="J10" s="123">
        <v>5</v>
      </c>
      <c r="K10" s="124" t="s">
        <v>59</v>
      </c>
      <c r="L10" s="127">
        <v>1500</v>
      </c>
      <c r="M10" s="124">
        <v>2015</v>
      </c>
      <c r="N10" s="166">
        <v>9575000</v>
      </c>
      <c r="O10"/>
      <c r="P10" s="123">
        <v>5</v>
      </c>
      <c r="Q10" s="124" t="s">
        <v>59</v>
      </c>
      <c r="R10" s="127">
        <v>1500</v>
      </c>
      <c r="S10" s="124">
        <v>2015</v>
      </c>
      <c r="T10" s="166">
        <v>458850</v>
      </c>
      <c r="U10"/>
      <c r="V10" s="123">
        <v>5</v>
      </c>
      <c r="W10" s="124" t="s">
        <v>59</v>
      </c>
      <c r="X10" s="127">
        <v>1500</v>
      </c>
      <c r="Y10" s="124">
        <v>2015</v>
      </c>
      <c r="Z10" s="290">
        <f>0.0520119863013699*'Price evolution'!$K$36</f>
        <v>5.7213184931506884</v>
      </c>
      <c r="AA10"/>
      <c r="AB10" s="123">
        <v>5</v>
      </c>
      <c r="AC10" s="124" t="s">
        <v>59</v>
      </c>
      <c r="AD10" s="127">
        <v>1500</v>
      </c>
      <c r="AE10" s="124">
        <v>2015</v>
      </c>
      <c r="AF10" s="350">
        <v>0</v>
      </c>
      <c r="AG10"/>
    </row>
    <row r="11" spans="1:33" s="29" customFormat="1" ht="13.15" x14ac:dyDescent="0.25">
      <c r="A11" s="61"/>
      <c r="B11" s="62"/>
      <c r="D11" s="123">
        <v>6</v>
      </c>
      <c r="E11" s="124" t="s">
        <v>59</v>
      </c>
      <c r="F11" s="127">
        <v>1500</v>
      </c>
      <c r="G11" s="124">
        <v>2020</v>
      </c>
      <c r="H11" s="166">
        <v>312.4135</v>
      </c>
      <c r="I11"/>
      <c r="J11" s="123">
        <v>6</v>
      </c>
      <c r="K11" s="124" t="s">
        <v>59</v>
      </c>
      <c r="L11" s="127">
        <v>1500</v>
      </c>
      <c r="M11" s="124">
        <v>2020</v>
      </c>
      <c r="N11" s="166">
        <v>7226666.666666666</v>
      </c>
      <c r="O11"/>
      <c r="P11" s="123">
        <v>6</v>
      </c>
      <c r="Q11" s="124" t="s">
        <v>59</v>
      </c>
      <c r="R11" s="127">
        <v>1500</v>
      </c>
      <c r="S11" s="124">
        <v>2020</v>
      </c>
      <c r="T11" s="166">
        <v>373125</v>
      </c>
      <c r="U11"/>
      <c r="V11" s="123">
        <v>6</v>
      </c>
      <c r="W11" s="124" t="s">
        <v>59</v>
      </c>
      <c r="X11" s="127">
        <v>1500</v>
      </c>
      <c r="Y11" s="124">
        <v>2020</v>
      </c>
      <c r="Z11" s="290">
        <f>0.0513481946558431*'Price evolution'!$L$36</f>
        <v>5.9364215501560427</v>
      </c>
      <c r="AA11"/>
      <c r="AB11" s="123">
        <v>6</v>
      </c>
      <c r="AC11" s="124" t="s">
        <v>59</v>
      </c>
      <c r="AD11" s="127">
        <v>1500</v>
      </c>
      <c r="AE11" s="124">
        <v>2020</v>
      </c>
      <c r="AF11" s="350">
        <v>0</v>
      </c>
      <c r="AG11"/>
    </row>
    <row r="12" spans="1:33" s="29" customFormat="1" ht="13.15" x14ac:dyDescent="0.25">
      <c r="A12" s="61"/>
      <c r="B12" s="62"/>
      <c r="D12" s="123">
        <v>7</v>
      </c>
      <c r="E12" s="124" t="s">
        <v>59</v>
      </c>
      <c r="F12" s="127">
        <v>1500</v>
      </c>
      <c r="G12" s="124">
        <v>2025</v>
      </c>
      <c r="H12" s="166">
        <v>296.58317499999998</v>
      </c>
      <c r="I12"/>
      <c r="J12" s="123">
        <v>7</v>
      </c>
      <c r="K12" s="124" t="s">
        <v>59</v>
      </c>
      <c r="L12" s="127">
        <v>1500</v>
      </c>
      <c r="M12" s="124">
        <v>2025</v>
      </c>
      <c r="N12" s="166">
        <v>6405833.333333334</v>
      </c>
      <c r="O12"/>
      <c r="P12" s="123">
        <v>7</v>
      </c>
      <c r="Q12" s="124" t="s">
        <v>59</v>
      </c>
      <c r="R12" s="127">
        <v>1500</v>
      </c>
      <c r="S12" s="124">
        <v>2025</v>
      </c>
      <c r="T12" s="166">
        <v>334912.5</v>
      </c>
      <c r="U12"/>
      <c r="V12" s="123">
        <v>7</v>
      </c>
      <c r="W12" s="124" t="s">
        <v>59</v>
      </c>
      <c r="X12" s="127">
        <v>1500</v>
      </c>
      <c r="Y12" s="124">
        <v>2025</v>
      </c>
      <c r="Z12" s="290">
        <f>0.0506476007370023*'Price evolution'!$M$36</f>
        <v>6.1541106410394137</v>
      </c>
      <c r="AA12"/>
      <c r="AB12" s="123">
        <v>7</v>
      </c>
      <c r="AC12" s="124" t="s">
        <v>59</v>
      </c>
      <c r="AD12" s="127">
        <v>1500</v>
      </c>
      <c r="AE12" s="124">
        <v>2025</v>
      </c>
      <c r="AF12" s="350">
        <v>0</v>
      </c>
      <c r="AG12"/>
    </row>
    <row r="13" spans="1:33" s="29" customFormat="1" ht="13.15" x14ac:dyDescent="0.25">
      <c r="A13" s="61"/>
      <c r="B13" s="62"/>
      <c r="D13" s="123">
        <v>8</v>
      </c>
      <c r="E13" s="124" t="s">
        <v>59</v>
      </c>
      <c r="F13" s="127">
        <v>1500</v>
      </c>
      <c r="G13" s="124">
        <v>2030</v>
      </c>
      <c r="H13" s="166">
        <v>280.75</v>
      </c>
      <c r="I13"/>
      <c r="J13" s="123">
        <v>8</v>
      </c>
      <c r="K13" s="124" t="s">
        <v>59</v>
      </c>
      <c r="L13" s="127">
        <v>1500</v>
      </c>
      <c r="M13" s="124">
        <v>2030</v>
      </c>
      <c r="N13" s="166">
        <v>5595000</v>
      </c>
      <c r="O13"/>
      <c r="P13" s="123">
        <v>8</v>
      </c>
      <c r="Q13" s="124" t="s">
        <v>59</v>
      </c>
      <c r="R13" s="127">
        <v>1500</v>
      </c>
      <c r="S13" s="124">
        <v>2030</v>
      </c>
      <c r="T13" s="166">
        <v>307162.5</v>
      </c>
      <c r="U13"/>
      <c r="V13" s="123">
        <v>8</v>
      </c>
      <c r="W13" s="124" t="s">
        <v>59</v>
      </c>
      <c r="X13" s="127">
        <v>1500</v>
      </c>
      <c r="Y13" s="124">
        <v>2030</v>
      </c>
      <c r="Z13" s="290">
        <f>0.0499395994552592*'Price evolution'!$N$36</f>
        <v>6.377615707228526</v>
      </c>
      <c r="AA13"/>
      <c r="AB13" s="123">
        <v>8</v>
      </c>
      <c r="AC13" s="124" t="s">
        <v>59</v>
      </c>
      <c r="AD13" s="127">
        <v>1500</v>
      </c>
      <c r="AE13" s="124">
        <v>2030</v>
      </c>
      <c r="AF13" s="350">
        <v>0</v>
      </c>
      <c r="AG13"/>
    </row>
    <row r="14" spans="1:33" s="29" customFormat="1" ht="13.15" x14ac:dyDescent="0.25">
      <c r="A14" s="61"/>
      <c r="B14" s="62"/>
      <c r="D14" s="123">
        <v>9</v>
      </c>
      <c r="E14" s="124" t="s">
        <v>59</v>
      </c>
      <c r="F14" s="127">
        <v>3000</v>
      </c>
      <c r="G14" s="124">
        <v>2015</v>
      </c>
      <c r="H14" s="166">
        <v>580.79999999999995</v>
      </c>
      <c r="I14"/>
      <c r="J14" s="123">
        <v>9</v>
      </c>
      <c r="K14" s="124" t="s">
        <v>59</v>
      </c>
      <c r="L14" s="127">
        <v>3000</v>
      </c>
      <c r="M14" s="124">
        <v>2015</v>
      </c>
      <c r="N14" s="166">
        <v>17926666.666666668</v>
      </c>
      <c r="O14"/>
      <c r="P14" s="123">
        <v>9</v>
      </c>
      <c r="Q14" s="124" t="s">
        <v>59</v>
      </c>
      <c r="R14" s="127">
        <v>3000</v>
      </c>
      <c r="S14" s="124">
        <v>2015</v>
      </c>
      <c r="T14" s="166">
        <v>736375</v>
      </c>
      <c r="U14"/>
      <c r="V14" s="123">
        <v>9</v>
      </c>
      <c r="W14" s="124" t="s">
        <v>59</v>
      </c>
      <c r="X14" s="127">
        <v>3000</v>
      </c>
      <c r="Y14" s="124">
        <v>2015</v>
      </c>
      <c r="Z14" s="290">
        <f>0.0521071156773212*'Price evolution'!$K$36</f>
        <v>5.7317827245053321</v>
      </c>
      <c r="AA14"/>
      <c r="AB14" s="123">
        <v>9</v>
      </c>
      <c r="AC14" s="124" t="s">
        <v>59</v>
      </c>
      <c r="AD14" s="127">
        <v>3000</v>
      </c>
      <c r="AE14" s="124">
        <v>2015</v>
      </c>
      <c r="AF14" s="350">
        <v>0</v>
      </c>
      <c r="AG14"/>
    </row>
    <row r="15" spans="1:33" s="29" customFormat="1" ht="13.15" x14ac:dyDescent="0.25">
      <c r="A15" s="61"/>
      <c r="B15" s="62"/>
      <c r="D15" s="123">
        <v>10</v>
      </c>
      <c r="E15" s="124" t="s">
        <v>59</v>
      </c>
      <c r="F15" s="127">
        <v>3000</v>
      </c>
      <c r="G15" s="124">
        <v>2020</v>
      </c>
      <c r="H15" s="166">
        <v>549.12699999999995</v>
      </c>
      <c r="I15"/>
      <c r="J15" s="123">
        <v>10</v>
      </c>
      <c r="K15" s="124" t="s">
        <v>59</v>
      </c>
      <c r="L15" s="127">
        <v>3000</v>
      </c>
      <c r="M15" s="124">
        <v>2020</v>
      </c>
      <c r="N15" s="166">
        <v>13602500</v>
      </c>
      <c r="O15"/>
      <c r="P15" s="123">
        <v>10</v>
      </c>
      <c r="Q15" s="124" t="s">
        <v>59</v>
      </c>
      <c r="R15" s="127">
        <v>3000</v>
      </c>
      <c r="S15" s="124">
        <v>2020</v>
      </c>
      <c r="T15" s="166">
        <v>585587.5</v>
      </c>
      <c r="U15"/>
      <c r="V15" s="123">
        <v>10</v>
      </c>
      <c r="W15" s="124" t="s">
        <v>59</v>
      </c>
      <c r="X15" s="127">
        <v>3000</v>
      </c>
      <c r="Y15" s="124">
        <v>2020</v>
      </c>
      <c r="Z15" s="290">
        <f>0.0510099568746829*'Price evolution'!$L$36</f>
        <v>5.8973175063505234</v>
      </c>
      <c r="AA15"/>
      <c r="AB15" s="123">
        <v>10</v>
      </c>
      <c r="AC15" s="124" t="s">
        <v>59</v>
      </c>
      <c r="AD15" s="127">
        <v>3000</v>
      </c>
      <c r="AE15" s="124">
        <v>2020</v>
      </c>
      <c r="AF15" s="350">
        <v>0</v>
      </c>
      <c r="AG15"/>
    </row>
    <row r="16" spans="1:33" s="29" customFormat="1" ht="13.15" x14ac:dyDescent="0.25">
      <c r="A16" s="61"/>
      <c r="B16" s="62"/>
      <c r="D16" s="123">
        <v>11</v>
      </c>
      <c r="E16" s="124" t="s">
        <v>59</v>
      </c>
      <c r="F16" s="127">
        <v>3000</v>
      </c>
      <c r="G16" s="124">
        <v>2025</v>
      </c>
      <c r="H16" s="166">
        <v>517.46635000000003</v>
      </c>
      <c r="I16"/>
      <c r="J16" s="123">
        <v>11</v>
      </c>
      <c r="K16" s="124" t="s">
        <v>59</v>
      </c>
      <c r="L16" s="127">
        <v>3000</v>
      </c>
      <c r="M16" s="124">
        <v>2025</v>
      </c>
      <c r="N16" s="166">
        <v>12102416.666666668</v>
      </c>
      <c r="O16"/>
      <c r="P16" s="123">
        <v>11</v>
      </c>
      <c r="Q16" s="124" t="s">
        <v>59</v>
      </c>
      <c r="R16" s="127">
        <v>3000</v>
      </c>
      <c r="S16" s="124">
        <v>2025</v>
      </c>
      <c r="T16" s="166">
        <v>542758.75</v>
      </c>
      <c r="U16"/>
      <c r="V16" s="123">
        <v>11</v>
      </c>
      <c r="W16" s="124" t="s">
        <v>59</v>
      </c>
      <c r="X16" s="127">
        <v>3000</v>
      </c>
      <c r="Y16" s="124">
        <v>2025</v>
      </c>
      <c r="Z16" s="290">
        <f>0.0509680365296804*'Price evolution'!$M$36</f>
        <v>6.1930462923396634</v>
      </c>
      <c r="AA16"/>
      <c r="AB16" s="123">
        <v>11</v>
      </c>
      <c r="AC16" s="124" t="s">
        <v>59</v>
      </c>
      <c r="AD16" s="127">
        <v>3000</v>
      </c>
      <c r="AE16" s="124">
        <v>2025</v>
      </c>
      <c r="AF16" s="350">
        <v>0</v>
      </c>
      <c r="AG16"/>
    </row>
    <row r="17" spans="1:33" s="29" customFormat="1" ht="13.15" x14ac:dyDescent="0.25">
      <c r="A17" s="61"/>
      <c r="B17" s="62"/>
      <c r="D17" s="123">
        <v>12</v>
      </c>
      <c r="E17" s="124" t="s">
        <v>59</v>
      </c>
      <c r="F17" s="127">
        <v>3000</v>
      </c>
      <c r="G17" s="124">
        <v>2030</v>
      </c>
      <c r="H17" s="166">
        <v>485.8</v>
      </c>
      <c r="I17"/>
      <c r="J17" s="123">
        <v>12</v>
      </c>
      <c r="K17" s="124" t="s">
        <v>59</v>
      </c>
      <c r="L17" s="127">
        <v>3000</v>
      </c>
      <c r="M17" s="124">
        <v>2030</v>
      </c>
      <c r="N17" s="166">
        <v>10536833.333333332</v>
      </c>
      <c r="O17"/>
      <c r="P17" s="123">
        <v>12</v>
      </c>
      <c r="Q17" s="124" t="s">
        <v>59</v>
      </c>
      <c r="R17" s="127">
        <v>3000</v>
      </c>
      <c r="S17" s="124">
        <v>2030</v>
      </c>
      <c r="T17" s="166">
        <v>489763.75</v>
      </c>
      <c r="U17"/>
      <c r="V17" s="123">
        <v>12</v>
      </c>
      <c r="W17" s="124" t="s">
        <v>59</v>
      </c>
      <c r="X17" s="127">
        <v>3000</v>
      </c>
      <c r="Y17" s="124">
        <v>2030</v>
      </c>
      <c r="Z17" s="290">
        <f>0.0502600352479372*'Price evolution'!$N$36</f>
        <v>6.4185374680522651</v>
      </c>
      <c r="AA17"/>
      <c r="AB17" s="123">
        <v>12</v>
      </c>
      <c r="AC17" s="124" t="s">
        <v>59</v>
      </c>
      <c r="AD17" s="127">
        <v>3000</v>
      </c>
      <c r="AE17" s="124">
        <v>2030</v>
      </c>
      <c r="AF17" s="350">
        <v>0</v>
      </c>
      <c r="AG17"/>
    </row>
    <row r="18" spans="1:33" s="29" customFormat="1" ht="13.15" x14ac:dyDescent="0.25">
      <c r="A18" s="61"/>
      <c r="B18" s="62"/>
      <c r="D18" s="123">
        <v>13</v>
      </c>
      <c r="E18" s="124" t="s">
        <v>59</v>
      </c>
      <c r="F18" s="127">
        <v>6000</v>
      </c>
      <c r="G18" s="124">
        <v>2015</v>
      </c>
      <c r="H18" s="166">
        <v>1048.2</v>
      </c>
      <c r="I18"/>
      <c r="J18" s="123">
        <v>13</v>
      </c>
      <c r="K18" s="124" t="s">
        <v>59</v>
      </c>
      <c r="L18" s="127">
        <v>6000</v>
      </c>
      <c r="M18" s="124">
        <v>2015</v>
      </c>
      <c r="N18" s="166">
        <v>32855000</v>
      </c>
      <c r="O18"/>
      <c r="P18" s="123">
        <v>13</v>
      </c>
      <c r="Q18" s="124" t="s">
        <v>59</v>
      </c>
      <c r="R18" s="127">
        <v>6000</v>
      </c>
      <c r="S18" s="124">
        <v>2015</v>
      </c>
      <c r="T18" s="166">
        <v>1327250</v>
      </c>
      <c r="U18"/>
      <c r="V18" s="123">
        <v>13</v>
      </c>
      <c r="W18" s="124" t="s">
        <v>59</v>
      </c>
      <c r="X18" s="127">
        <v>6000</v>
      </c>
      <c r="Y18" s="124">
        <v>2015</v>
      </c>
      <c r="Z18" s="290">
        <f>0.0524876331811263*'Price evolution'!$K$36</f>
        <v>5.7736396499238927</v>
      </c>
      <c r="AA18"/>
      <c r="AB18" s="123">
        <v>13</v>
      </c>
      <c r="AC18" s="124" t="s">
        <v>59</v>
      </c>
      <c r="AD18" s="127">
        <v>6000</v>
      </c>
      <c r="AE18" s="124">
        <v>2015</v>
      </c>
      <c r="AF18" s="350">
        <v>0</v>
      </c>
      <c r="AG18"/>
    </row>
    <row r="19" spans="1:33" s="29" customFormat="1" ht="13.15" x14ac:dyDescent="0.25">
      <c r="A19" s="61"/>
      <c r="B19" s="62"/>
      <c r="D19" s="123">
        <v>14</v>
      </c>
      <c r="E19" s="124" t="s">
        <v>59</v>
      </c>
      <c r="F19" s="127">
        <v>6000</v>
      </c>
      <c r="G19" s="124">
        <v>2020</v>
      </c>
      <c r="H19" s="166">
        <v>984.85400000000004</v>
      </c>
      <c r="I19"/>
      <c r="J19" s="123">
        <v>14</v>
      </c>
      <c r="K19" s="124" t="s">
        <v>59</v>
      </c>
      <c r="L19" s="127">
        <v>6000</v>
      </c>
      <c r="M19" s="124">
        <v>2020</v>
      </c>
      <c r="N19" s="166">
        <v>23918000</v>
      </c>
      <c r="O19"/>
      <c r="P19" s="123">
        <v>14</v>
      </c>
      <c r="Q19" s="124" t="s">
        <v>59</v>
      </c>
      <c r="R19" s="127">
        <v>6000</v>
      </c>
      <c r="S19" s="124">
        <v>2020</v>
      </c>
      <c r="T19" s="166">
        <v>1046284.9999999999</v>
      </c>
      <c r="U19"/>
      <c r="V19" s="123">
        <v>14</v>
      </c>
      <c r="W19" s="124" t="s">
        <v>59</v>
      </c>
      <c r="X19" s="127">
        <v>6000</v>
      </c>
      <c r="Y19" s="124">
        <v>2020</v>
      </c>
      <c r="Z19" s="290">
        <f>0.0514327541011331*'Price evolution'!$L$36</f>
        <v>5.9461975611074163</v>
      </c>
      <c r="AA19"/>
      <c r="AB19" s="123">
        <v>14</v>
      </c>
      <c r="AC19" s="124" t="s">
        <v>59</v>
      </c>
      <c r="AD19" s="127">
        <v>6000</v>
      </c>
      <c r="AE19" s="124">
        <v>2020</v>
      </c>
      <c r="AF19" s="350">
        <v>0</v>
      </c>
      <c r="AG19"/>
    </row>
    <row r="20" spans="1:33" s="29" customFormat="1" ht="13.15" x14ac:dyDescent="0.25">
      <c r="A20" s="61"/>
      <c r="B20" s="62"/>
      <c r="D20" s="123">
        <v>15</v>
      </c>
      <c r="E20" s="124" t="s">
        <v>59</v>
      </c>
      <c r="F20" s="127">
        <v>6000</v>
      </c>
      <c r="G20" s="124">
        <v>2025</v>
      </c>
      <c r="H20" s="166">
        <v>921.53269999999998</v>
      </c>
      <c r="I20"/>
      <c r="J20" s="123">
        <v>15</v>
      </c>
      <c r="K20" s="124" t="s">
        <v>59</v>
      </c>
      <c r="L20" s="127">
        <v>6000</v>
      </c>
      <c r="M20" s="124">
        <v>2025</v>
      </c>
      <c r="N20" s="166">
        <v>21325633.333333336</v>
      </c>
      <c r="O20"/>
      <c r="P20" s="123">
        <v>15</v>
      </c>
      <c r="Q20" s="124" t="s">
        <v>59</v>
      </c>
      <c r="R20" s="127">
        <v>6000</v>
      </c>
      <c r="S20" s="124">
        <v>2025</v>
      </c>
      <c r="T20" s="166">
        <v>963813.49999999988</v>
      </c>
      <c r="U20"/>
      <c r="V20" s="123">
        <v>15</v>
      </c>
      <c r="W20" s="124" t="s">
        <v>59</v>
      </c>
      <c r="X20" s="127">
        <v>6000</v>
      </c>
      <c r="Y20" s="124">
        <v>2025</v>
      </c>
      <c r="Z20" s="290">
        <f>0.0505674917888328*'Price evolution'!$M$36</f>
        <v>6.144376728214354</v>
      </c>
      <c r="AA20"/>
      <c r="AB20" s="123">
        <v>15</v>
      </c>
      <c r="AC20" s="124" t="s">
        <v>59</v>
      </c>
      <c r="AD20" s="127">
        <v>6000</v>
      </c>
      <c r="AE20" s="124">
        <v>2025</v>
      </c>
      <c r="AF20" s="350">
        <v>0</v>
      </c>
      <c r="AG20"/>
    </row>
    <row r="21" spans="1:33" s="29" customFormat="1" ht="13.15" x14ac:dyDescent="0.25">
      <c r="A21" s="61"/>
      <c r="B21" s="62"/>
      <c r="D21" s="123">
        <v>16</v>
      </c>
      <c r="E21" s="124" t="s">
        <v>59</v>
      </c>
      <c r="F21" s="127">
        <v>6000</v>
      </c>
      <c r="G21" s="124">
        <v>2030</v>
      </c>
      <c r="H21" s="166">
        <v>858.2</v>
      </c>
      <c r="I21"/>
      <c r="J21" s="123">
        <v>16</v>
      </c>
      <c r="K21" s="124" t="s">
        <v>59</v>
      </c>
      <c r="L21" s="127">
        <v>6000</v>
      </c>
      <c r="M21" s="124">
        <v>2030</v>
      </c>
      <c r="N21" s="166">
        <v>18501650</v>
      </c>
      <c r="O21"/>
      <c r="P21" s="123">
        <v>16</v>
      </c>
      <c r="Q21" s="124" t="s">
        <v>59</v>
      </c>
      <c r="R21" s="127">
        <v>6000</v>
      </c>
      <c r="S21" s="124">
        <v>2030</v>
      </c>
      <c r="T21" s="166">
        <v>866835.5</v>
      </c>
      <c r="U21"/>
      <c r="V21" s="123">
        <v>16</v>
      </c>
      <c r="W21" s="124" t="s">
        <v>59</v>
      </c>
      <c r="X21" s="127">
        <v>6000</v>
      </c>
      <c r="Y21" s="124">
        <v>2030</v>
      </c>
      <c r="Z21" s="290">
        <f>0.0498594905070896*'Price evolution'!$N$36</f>
        <v>6.3673852670225788</v>
      </c>
      <c r="AA21"/>
      <c r="AB21" s="123">
        <v>16</v>
      </c>
      <c r="AC21" s="124" t="s">
        <v>59</v>
      </c>
      <c r="AD21" s="127">
        <v>6000</v>
      </c>
      <c r="AE21" s="124">
        <v>2030</v>
      </c>
      <c r="AF21" s="350">
        <v>0</v>
      </c>
      <c r="AG21"/>
    </row>
    <row r="22" spans="1:33" s="29" customFormat="1" ht="13.15" x14ac:dyDescent="0.25">
      <c r="A22" s="61"/>
      <c r="B22" s="62"/>
      <c r="D22" s="123">
        <v>17</v>
      </c>
      <c r="E22" s="124" t="s">
        <v>60</v>
      </c>
      <c r="F22" s="127">
        <v>600</v>
      </c>
      <c r="G22" s="124">
        <v>2015</v>
      </c>
      <c r="H22" s="166">
        <v>96</v>
      </c>
      <c r="I22"/>
      <c r="J22" s="123">
        <v>17</v>
      </c>
      <c r="K22" s="124" t="s">
        <v>60</v>
      </c>
      <c r="L22" s="127">
        <v>600</v>
      </c>
      <c r="M22" s="124">
        <v>2015</v>
      </c>
      <c r="N22" s="166">
        <v>2496666.6666666665</v>
      </c>
      <c r="O22"/>
      <c r="P22" s="123">
        <v>17</v>
      </c>
      <c r="Q22" s="124" t="s">
        <v>60</v>
      </c>
      <c r="R22" s="127">
        <v>600</v>
      </c>
      <c r="S22" s="124">
        <v>2015</v>
      </c>
      <c r="T22" s="166">
        <v>151000</v>
      </c>
      <c r="U22"/>
      <c r="V22" s="123">
        <v>17</v>
      </c>
      <c r="W22" s="124" t="s">
        <v>60</v>
      </c>
      <c r="X22" s="127">
        <v>600</v>
      </c>
      <c r="Y22" s="124">
        <v>2015</v>
      </c>
      <c r="Z22" s="290">
        <f>'Price evolution'!$K$37*0.0959313725490196</f>
        <v>4.0291176470588228</v>
      </c>
      <c r="AA22"/>
      <c r="AB22" s="123">
        <v>17</v>
      </c>
      <c r="AC22" s="124" t="s">
        <v>60</v>
      </c>
      <c r="AD22" s="127">
        <v>600</v>
      </c>
      <c r="AE22" s="124">
        <v>2015</v>
      </c>
      <c r="AF22" s="284">
        <v>0.82999999999999985</v>
      </c>
      <c r="AG22"/>
    </row>
    <row r="23" spans="1:33" s="29" customFormat="1" ht="13.15" x14ac:dyDescent="0.25">
      <c r="A23" s="61"/>
      <c r="B23" s="62"/>
      <c r="D23" s="123">
        <v>18</v>
      </c>
      <c r="E23" s="124" t="s">
        <v>60</v>
      </c>
      <c r="F23" s="127">
        <v>600</v>
      </c>
      <c r="G23" s="124">
        <v>2020</v>
      </c>
      <c r="H23" s="166">
        <v>96</v>
      </c>
      <c r="I23"/>
      <c r="J23" s="123">
        <v>18</v>
      </c>
      <c r="K23" s="124" t="s">
        <v>60</v>
      </c>
      <c r="L23" s="127">
        <v>600</v>
      </c>
      <c r="M23" s="124">
        <v>2020</v>
      </c>
      <c r="N23" s="166">
        <v>2191000</v>
      </c>
      <c r="O23"/>
      <c r="P23" s="123">
        <v>18</v>
      </c>
      <c r="Q23" s="124" t="s">
        <v>60</v>
      </c>
      <c r="R23" s="127">
        <v>600</v>
      </c>
      <c r="S23" s="124">
        <v>2020</v>
      </c>
      <c r="T23" s="166">
        <v>117400</v>
      </c>
      <c r="U23"/>
      <c r="V23" s="123">
        <v>18</v>
      </c>
      <c r="W23" s="124" t="s">
        <v>60</v>
      </c>
      <c r="X23" s="127">
        <v>600</v>
      </c>
      <c r="Y23" s="124">
        <v>2020</v>
      </c>
      <c r="Z23" s="290">
        <f>'Price evolution'!$L$37*0.0893092105263158</f>
        <v>3.942324868845493</v>
      </c>
      <c r="AA23"/>
      <c r="AB23" s="123">
        <v>18</v>
      </c>
      <c r="AC23" s="124" t="s">
        <v>60</v>
      </c>
      <c r="AD23" s="127">
        <v>600</v>
      </c>
      <c r="AE23" s="124">
        <v>2020</v>
      </c>
      <c r="AF23" s="284">
        <v>0.80499999999999994</v>
      </c>
      <c r="AG23"/>
    </row>
    <row r="24" spans="1:33" s="29" customFormat="1" ht="13.15" x14ac:dyDescent="0.25">
      <c r="A24" s="61"/>
      <c r="B24" s="62"/>
      <c r="D24" s="123">
        <v>19</v>
      </c>
      <c r="E24" s="124" t="s">
        <v>60</v>
      </c>
      <c r="F24" s="127">
        <v>600</v>
      </c>
      <c r="G24" s="124">
        <v>2025</v>
      </c>
      <c r="H24" s="166">
        <v>96</v>
      </c>
      <c r="I24"/>
      <c r="J24" s="123">
        <v>19</v>
      </c>
      <c r="K24" s="124" t="s">
        <v>60</v>
      </c>
      <c r="L24" s="127">
        <v>600</v>
      </c>
      <c r="M24" s="124">
        <v>2025</v>
      </c>
      <c r="N24" s="166">
        <v>2040600</v>
      </c>
      <c r="O24"/>
      <c r="P24" s="123">
        <v>19</v>
      </c>
      <c r="Q24" s="124" t="s">
        <v>60</v>
      </c>
      <c r="R24" s="127">
        <v>600</v>
      </c>
      <c r="S24" s="124">
        <v>2025</v>
      </c>
      <c r="T24" s="166">
        <v>104840</v>
      </c>
      <c r="U24"/>
      <c r="V24" s="123">
        <v>19</v>
      </c>
      <c r="W24" s="124" t="s">
        <v>60</v>
      </c>
      <c r="X24" s="127">
        <v>600</v>
      </c>
      <c r="Y24" s="124">
        <v>2025</v>
      </c>
      <c r="Z24" s="290">
        <f>'Price evolution'!$M$37*0.0782866379310345</f>
        <v>3.6320404000724245</v>
      </c>
      <c r="AA24"/>
      <c r="AB24" s="123">
        <v>19</v>
      </c>
      <c r="AC24" s="124" t="s">
        <v>60</v>
      </c>
      <c r="AD24" s="127">
        <v>600</v>
      </c>
      <c r="AE24" s="124">
        <v>2025</v>
      </c>
      <c r="AF24" s="284">
        <v>0.77250000000000008</v>
      </c>
      <c r="AG24"/>
    </row>
    <row r="25" spans="1:33" s="29" customFormat="1" ht="13.15" x14ac:dyDescent="0.25">
      <c r="A25" s="61"/>
      <c r="B25" s="62"/>
      <c r="D25" s="123">
        <v>20</v>
      </c>
      <c r="E25" s="124" t="s">
        <v>60</v>
      </c>
      <c r="F25" s="127">
        <v>600</v>
      </c>
      <c r="G25" s="124">
        <v>2030</v>
      </c>
      <c r="H25" s="166">
        <v>96</v>
      </c>
      <c r="I25"/>
      <c r="J25" s="123">
        <v>20</v>
      </c>
      <c r="K25" s="124" t="s">
        <v>60</v>
      </c>
      <c r="L25" s="127">
        <v>600</v>
      </c>
      <c r="M25" s="124">
        <v>2030</v>
      </c>
      <c r="N25" s="166">
        <v>1904633.3333333333</v>
      </c>
      <c r="O25"/>
      <c r="P25" s="123">
        <v>20</v>
      </c>
      <c r="Q25" s="124" t="s">
        <v>60</v>
      </c>
      <c r="R25" s="127">
        <v>600</v>
      </c>
      <c r="S25" s="124">
        <v>2030</v>
      </c>
      <c r="T25" s="166">
        <v>92695</v>
      </c>
      <c r="U25"/>
      <c r="V25" s="123">
        <v>20</v>
      </c>
      <c r="W25" s="124" t="s">
        <v>60</v>
      </c>
      <c r="X25" s="127">
        <v>600</v>
      </c>
      <c r="Y25" s="124">
        <v>2030</v>
      </c>
      <c r="Z25" s="290">
        <f>'Price evolution'!$N$37*0.0777909482758621</f>
        <v>3.7931407901969063</v>
      </c>
      <c r="AA25"/>
      <c r="AB25" s="123">
        <v>20</v>
      </c>
      <c r="AC25" s="124" t="s">
        <v>60</v>
      </c>
      <c r="AD25" s="127">
        <v>600</v>
      </c>
      <c r="AE25" s="124">
        <v>2030</v>
      </c>
      <c r="AF25" s="284">
        <v>0.71000000000000008</v>
      </c>
      <c r="AG25"/>
    </row>
    <row r="26" spans="1:33" s="29" customFormat="1" ht="13.15" x14ac:dyDescent="0.25">
      <c r="A26" s="61"/>
      <c r="B26" s="62"/>
      <c r="D26" s="123">
        <v>21</v>
      </c>
      <c r="E26" s="124" t="s">
        <v>60</v>
      </c>
      <c r="F26" s="127">
        <v>1500</v>
      </c>
      <c r="G26" s="124">
        <v>2015</v>
      </c>
      <c r="H26" s="166">
        <v>223.25</v>
      </c>
      <c r="I26"/>
      <c r="J26" s="123">
        <v>21</v>
      </c>
      <c r="K26" s="124" t="s">
        <v>60</v>
      </c>
      <c r="L26" s="127">
        <v>1500</v>
      </c>
      <c r="M26" s="124">
        <v>2015</v>
      </c>
      <c r="N26" s="166">
        <v>4810000</v>
      </c>
      <c r="O26"/>
      <c r="P26" s="123">
        <v>21</v>
      </c>
      <c r="Q26" s="124" t="s">
        <v>60</v>
      </c>
      <c r="R26" s="127">
        <v>1500</v>
      </c>
      <c r="S26" s="124">
        <v>2015</v>
      </c>
      <c r="T26" s="166">
        <v>315600</v>
      </c>
      <c r="U26"/>
      <c r="V26" s="123">
        <v>21</v>
      </c>
      <c r="W26" s="124" t="s">
        <v>60</v>
      </c>
      <c r="X26" s="127">
        <v>1500</v>
      </c>
      <c r="Y26" s="124">
        <v>2015</v>
      </c>
      <c r="Z26" s="290">
        <f>'Price evolution'!$K$37*0.0959313725490196</f>
        <v>4.0291176470588228</v>
      </c>
      <c r="AA26"/>
      <c r="AB26" s="123">
        <v>21</v>
      </c>
      <c r="AC26" s="124" t="s">
        <v>60</v>
      </c>
      <c r="AD26" s="127">
        <v>1500</v>
      </c>
      <c r="AE26" s="124">
        <v>2015</v>
      </c>
      <c r="AF26" s="284">
        <v>0.82999999999999985</v>
      </c>
      <c r="AG26"/>
    </row>
    <row r="27" spans="1:33" s="29" customFormat="1" ht="13.15" x14ac:dyDescent="0.25">
      <c r="A27" s="61"/>
      <c r="B27" s="62"/>
      <c r="D27" s="123">
        <v>22</v>
      </c>
      <c r="E27" s="124" t="s">
        <v>60</v>
      </c>
      <c r="F27" s="127">
        <v>1500</v>
      </c>
      <c r="G27" s="124">
        <v>2020</v>
      </c>
      <c r="H27" s="166">
        <v>223.25</v>
      </c>
      <c r="I27"/>
      <c r="J27" s="123">
        <v>22</v>
      </c>
      <c r="K27" s="124" t="s">
        <v>60</v>
      </c>
      <c r="L27" s="127">
        <v>1500</v>
      </c>
      <c r="M27" s="124">
        <v>2020</v>
      </c>
      <c r="N27" s="166">
        <v>4126666.6666666665</v>
      </c>
      <c r="O27"/>
      <c r="P27" s="123">
        <v>22</v>
      </c>
      <c r="Q27" s="124" t="s">
        <v>60</v>
      </c>
      <c r="R27" s="127">
        <v>1500</v>
      </c>
      <c r="S27" s="124">
        <v>2020</v>
      </c>
      <c r="T27" s="166">
        <v>249000</v>
      </c>
      <c r="U27"/>
      <c r="V27" s="123">
        <v>22</v>
      </c>
      <c r="W27" s="124" t="s">
        <v>60</v>
      </c>
      <c r="X27" s="127">
        <v>1500</v>
      </c>
      <c r="Y27" s="124">
        <v>2020</v>
      </c>
      <c r="Z27" s="290">
        <f>'Price evolution'!$L$37*0.0893092105263158</f>
        <v>3.942324868845493</v>
      </c>
      <c r="AA27"/>
      <c r="AB27" s="123">
        <v>22</v>
      </c>
      <c r="AC27" s="124" t="s">
        <v>60</v>
      </c>
      <c r="AD27" s="127">
        <v>1500</v>
      </c>
      <c r="AE27" s="124">
        <v>2020</v>
      </c>
      <c r="AF27" s="284">
        <v>0.80499999999999994</v>
      </c>
      <c r="AG27"/>
    </row>
    <row r="28" spans="1:33" s="29" customFormat="1" ht="13.15" x14ac:dyDescent="0.25">
      <c r="A28" s="61"/>
      <c r="B28" s="62"/>
      <c r="D28" s="123">
        <v>23</v>
      </c>
      <c r="E28" s="124" t="s">
        <v>60</v>
      </c>
      <c r="F28" s="127">
        <v>1500</v>
      </c>
      <c r="G28" s="124">
        <v>2025</v>
      </c>
      <c r="H28" s="166">
        <v>223.25</v>
      </c>
      <c r="I28"/>
      <c r="J28" s="123">
        <v>23</v>
      </c>
      <c r="K28" s="124" t="s">
        <v>60</v>
      </c>
      <c r="L28" s="127">
        <v>1500</v>
      </c>
      <c r="M28" s="124">
        <v>2025</v>
      </c>
      <c r="N28" s="166">
        <v>3813333.3333333335</v>
      </c>
      <c r="O28"/>
      <c r="P28" s="123">
        <v>23</v>
      </c>
      <c r="Q28" s="124" t="s">
        <v>60</v>
      </c>
      <c r="R28" s="127">
        <v>1500</v>
      </c>
      <c r="S28" s="124">
        <v>2025</v>
      </c>
      <c r="T28" s="166">
        <v>222600</v>
      </c>
      <c r="U28"/>
      <c r="V28" s="123">
        <v>23</v>
      </c>
      <c r="W28" s="124" t="s">
        <v>60</v>
      </c>
      <c r="X28" s="127">
        <v>1500</v>
      </c>
      <c r="Y28" s="124">
        <v>2025</v>
      </c>
      <c r="Z28" s="290">
        <f>'Price evolution'!$M$37*0.0782866379310345</f>
        <v>3.6320404000724245</v>
      </c>
      <c r="AA28"/>
      <c r="AB28" s="123">
        <v>23</v>
      </c>
      <c r="AC28" s="124" t="s">
        <v>60</v>
      </c>
      <c r="AD28" s="127">
        <v>1500</v>
      </c>
      <c r="AE28" s="124">
        <v>2025</v>
      </c>
      <c r="AF28" s="284">
        <v>0.77250000000000008</v>
      </c>
      <c r="AG28"/>
    </row>
    <row r="29" spans="1:33" s="29" customFormat="1" ht="13.15" x14ac:dyDescent="0.25">
      <c r="A29" s="61"/>
      <c r="B29" s="62"/>
      <c r="D29" s="123">
        <v>24</v>
      </c>
      <c r="E29" s="124" t="s">
        <v>60</v>
      </c>
      <c r="F29" s="127">
        <v>1500</v>
      </c>
      <c r="G29" s="124">
        <v>2030</v>
      </c>
      <c r="H29" s="166">
        <v>223.25</v>
      </c>
      <c r="I29"/>
      <c r="J29" s="123">
        <v>24</v>
      </c>
      <c r="K29" s="124" t="s">
        <v>60</v>
      </c>
      <c r="L29" s="127">
        <v>1500</v>
      </c>
      <c r="M29" s="124">
        <v>2030</v>
      </c>
      <c r="N29" s="166">
        <v>3495000</v>
      </c>
      <c r="O29"/>
      <c r="P29" s="123">
        <v>24</v>
      </c>
      <c r="Q29" s="124" t="s">
        <v>60</v>
      </c>
      <c r="R29" s="127">
        <v>1500</v>
      </c>
      <c r="S29" s="124">
        <v>2030</v>
      </c>
      <c r="T29" s="166">
        <v>198600</v>
      </c>
      <c r="U29"/>
      <c r="V29" s="123">
        <v>24</v>
      </c>
      <c r="W29" s="124" t="s">
        <v>60</v>
      </c>
      <c r="X29" s="127">
        <v>1500</v>
      </c>
      <c r="Y29" s="124">
        <v>2030</v>
      </c>
      <c r="Z29" s="290">
        <f>'Price evolution'!$N$37*0.0777909482758621</f>
        <v>3.7931407901969063</v>
      </c>
      <c r="AA29"/>
      <c r="AB29" s="123">
        <v>24</v>
      </c>
      <c r="AC29" s="124" t="s">
        <v>60</v>
      </c>
      <c r="AD29" s="127">
        <v>1500</v>
      </c>
      <c r="AE29" s="124">
        <v>2030</v>
      </c>
      <c r="AF29" s="284">
        <v>0.71000000000000008</v>
      </c>
      <c r="AG29"/>
    </row>
    <row r="30" spans="1:33" s="29" customFormat="1" ht="13.15" x14ac:dyDescent="0.25">
      <c r="A30" s="61"/>
      <c r="B30" s="62"/>
      <c r="D30" s="123">
        <v>25</v>
      </c>
      <c r="E30" s="124" t="s">
        <v>60</v>
      </c>
      <c r="F30" s="127">
        <v>3000</v>
      </c>
      <c r="G30" s="124">
        <v>2015</v>
      </c>
      <c r="H30" s="166">
        <v>370.8</v>
      </c>
      <c r="I30"/>
      <c r="J30" s="123">
        <v>25</v>
      </c>
      <c r="K30" s="124" t="s">
        <v>60</v>
      </c>
      <c r="L30" s="127">
        <v>3000</v>
      </c>
      <c r="M30" s="124">
        <v>2015</v>
      </c>
      <c r="N30" s="166">
        <v>8216666.666666667</v>
      </c>
      <c r="O30"/>
      <c r="P30" s="123">
        <v>25</v>
      </c>
      <c r="Q30" s="124" t="s">
        <v>60</v>
      </c>
      <c r="R30" s="127">
        <v>3000</v>
      </c>
      <c r="S30" s="124">
        <v>2015</v>
      </c>
      <c r="T30" s="166">
        <v>527500</v>
      </c>
      <c r="U30"/>
      <c r="V30" s="123">
        <v>25</v>
      </c>
      <c r="W30" s="124" t="s">
        <v>60</v>
      </c>
      <c r="X30" s="127">
        <v>3000</v>
      </c>
      <c r="Y30" s="124">
        <v>2015</v>
      </c>
      <c r="Z30" s="290">
        <f>'Price evolution'!$K$37*0.0959313725490196</f>
        <v>4.0291176470588228</v>
      </c>
      <c r="AA30"/>
      <c r="AB30" s="123">
        <v>25</v>
      </c>
      <c r="AC30" s="124" t="s">
        <v>60</v>
      </c>
      <c r="AD30" s="127">
        <v>3000</v>
      </c>
      <c r="AE30" s="124">
        <v>2015</v>
      </c>
      <c r="AF30" s="284">
        <v>0.82999999999999985</v>
      </c>
      <c r="AG30"/>
    </row>
    <row r="31" spans="1:33" s="29" customFormat="1" ht="13.15" x14ac:dyDescent="0.25">
      <c r="A31" s="61"/>
      <c r="B31" s="62"/>
      <c r="D31" s="123">
        <v>26</v>
      </c>
      <c r="E31" s="124" t="s">
        <v>60</v>
      </c>
      <c r="F31" s="127">
        <v>3000</v>
      </c>
      <c r="G31" s="124">
        <v>2020</v>
      </c>
      <c r="H31" s="166">
        <v>370.8</v>
      </c>
      <c r="I31"/>
      <c r="J31" s="123">
        <v>26</v>
      </c>
      <c r="K31" s="124" t="s">
        <v>60</v>
      </c>
      <c r="L31" s="127">
        <v>3000</v>
      </c>
      <c r="M31" s="124">
        <v>2020</v>
      </c>
      <c r="N31" s="166">
        <v>7044999.9999999991</v>
      </c>
      <c r="O31"/>
      <c r="P31" s="123">
        <v>26</v>
      </c>
      <c r="Q31" s="124" t="s">
        <v>60</v>
      </c>
      <c r="R31" s="127">
        <v>3000</v>
      </c>
      <c r="S31" s="124">
        <v>2020</v>
      </c>
      <c r="T31" s="166">
        <v>407650</v>
      </c>
      <c r="U31"/>
      <c r="V31" s="123">
        <v>26</v>
      </c>
      <c r="W31" s="124" t="s">
        <v>60</v>
      </c>
      <c r="X31" s="127">
        <v>3000</v>
      </c>
      <c r="Y31" s="124">
        <v>2020</v>
      </c>
      <c r="Z31" s="290">
        <f>'Price evolution'!$L$37*0.0893092105263158</f>
        <v>3.942324868845493</v>
      </c>
      <c r="AA31"/>
      <c r="AB31" s="123">
        <v>26</v>
      </c>
      <c r="AC31" s="124" t="s">
        <v>60</v>
      </c>
      <c r="AD31" s="127">
        <v>3000</v>
      </c>
      <c r="AE31" s="124">
        <v>2020</v>
      </c>
      <c r="AF31" s="284">
        <v>0.80499999999999994</v>
      </c>
      <c r="AG31"/>
    </row>
    <row r="32" spans="1:33" s="29" customFormat="1" x14ac:dyDescent="0.2">
      <c r="A32" s="61"/>
      <c r="B32" s="62"/>
      <c r="D32" s="123">
        <v>27</v>
      </c>
      <c r="E32" s="124" t="s">
        <v>60</v>
      </c>
      <c r="F32" s="127">
        <v>3000</v>
      </c>
      <c r="G32" s="124">
        <v>2025</v>
      </c>
      <c r="H32" s="166">
        <v>370.8</v>
      </c>
      <c r="I32"/>
      <c r="J32" s="123">
        <v>27</v>
      </c>
      <c r="K32" s="124" t="s">
        <v>60</v>
      </c>
      <c r="L32" s="127">
        <v>3000</v>
      </c>
      <c r="M32" s="124">
        <v>2025</v>
      </c>
      <c r="N32" s="166">
        <v>6733666.666666667</v>
      </c>
      <c r="O32"/>
      <c r="P32" s="123">
        <v>27</v>
      </c>
      <c r="Q32" s="124" t="s">
        <v>60</v>
      </c>
      <c r="R32" s="127">
        <v>3000</v>
      </c>
      <c r="S32" s="124">
        <v>2025</v>
      </c>
      <c r="T32" s="166">
        <v>379540</v>
      </c>
      <c r="U32"/>
      <c r="V32" s="123">
        <v>27</v>
      </c>
      <c r="W32" s="124" t="s">
        <v>60</v>
      </c>
      <c r="X32" s="127">
        <v>3000</v>
      </c>
      <c r="Y32" s="124">
        <v>2025</v>
      </c>
      <c r="Z32" s="290">
        <f>'Price evolution'!$M$37*0.0782866379310345</f>
        <v>3.6320404000724245</v>
      </c>
      <c r="AA32"/>
      <c r="AB32" s="123">
        <v>27</v>
      </c>
      <c r="AC32" s="124" t="s">
        <v>60</v>
      </c>
      <c r="AD32" s="127">
        <v>3000</v>
      </c>
      <c r="AE32" s="124">
        <v>2025</v>
      </c>
      <c r="AF32" s="284">
        <v>0.77250000000000008</v>
      </c>
      <c r="AG32"/>
    </row>
    <row r="33" spans="1:33" s="29" customFormat="1" x14ac:dyDescent="0.2">
      <c r="A33" s="61"/>
      <c r="B33" s="62"/>
      <c r="D33" s="123">
        <v>28</v>
      </c>
      <c r="E33" s="124" t="s">
        <v>60</v>
      </c>
      <c r="F33" s="127">
        <v>3000</v>
      </c>
      <c r="G33" s="124">
        <v>2030</v>
      </c>
      <c r="H33" s="166">
        <v>370.8</v>
      </c>
      <c r="I33"/>
      <c r="J33" s="123">
        <v>28</v>
      </c>
      <c r="K33" s="124" t="s">
        <v>60</v>
      </c>
      <c r="L33" s="127">
        <v>3000</v>
      </c>
      <c r="M33" s="124">
        <v>2030</v>
      </c>
      <c r="N33" s="166">
        <v>6186833.333333333</v>
      </c>
      <c r="O33"/>
      <c r="P33" s="123">
        <v>28</v>
      </c>
      <c r="Q33" s="124" t="s">
        <v>60</v>
      </c>
      <c r="R33" s="127">
        <v>3000</v>
      </c>
      <c r="S33" s="124">
        <v>2030</v>
      </c>
      <c r="T33" s="166">
        <v>333170</v>
      </c>
      <c r="U33"/>
      <c r="V33" s="123">
        <v>28</v>
      </c>
      <c r="W33" s="124" t="s">
        <v>60</v>
      </c>
      <c r="X33" s="127">
        <v>3000</v>
      </c>
      <c r="Y33" s="124">
        <v>2030</v>
      </c>
      <c r="Z33" s="290">
        <f>'Price evolution'!$N$37*0.0777909482758621</f>
        <v>3.7931407901969063</v>
      </c>
      <c r="AA33"/>
      <c r="AB33" s="123">
        <v>28</v>
      </c>
      <c r="AC33" s="124" t="s">
        <v>60</v>
      </c>
      <c r="AD33" s="127">
        <v>3000</v>
      </c>
      <c r="AE33" s="124">
        <v>2030</v>
      </c>
      <c r="AF33" s="284">
        <v>0.71000000000000008</v>
      </c>
      <c r="AG33"/>
    </row>
    <row r="34" spans="1:33" s="29" customFormat="1" x14ac:dyDescent="0.2">
      <c r="A34" s="61"/>
      <c r="B34" s="62"/>
      <c r="D34" s="123">
        <v>29</v>
      </c>
      <c r="E34" s="124" t="s">
        <v>60</v>
      </c>
      <c r="F34" s="127">
        <v>6000</v>
      </c>
      <c r="G34" s="124">
        <v>2015</v>
      </c>
      <c r="H34" s="166">
        <v>628.20000000000005</v>
      </c>
      <c r="I34"/>
      <c r="J34" s="123">
        <v>29</v>
      </c>
      <c r="K34" s="124" t="s">
        <v>60</v>
      </c>
      <c r="L34" s="127">
        <v>6000</v>
      </c>
      <c r="M34" s="124">
        <v>2015</v>
      </c>
      <c r="N34" s="166">
        <v>13555000</v>
      </c>
      <c r="O34"/>
      <c r="P34" s="123">
        <v>29</v>
      </c>
      <c r="Q34" s="124" t="s">
        <v>60</v>
      </c>
      <c r="R34" s="127">
        <v>6000</v>
      </c>
      <c r="S34" s="124">
        <v>2015</v>
      </c>
      <c r="T34" s="166">
        <v>909499.99999999988</v>
      </c>
      <c r="U34"/>
      <c r="V34" s="123">
        <v>29</v>
      </c>
      <c r="W34" s="124" t="s">
        <v>60</v>
      </c>
      <c r="X34" s="127">
        <v>6000</v>
      </c>
      <c r="Y34" s="124">
        <v>2015</v>
      </c>
      <c r="Z34" s="290">
        <f>'Price evolution'!$K$37*0.0959313725490196</f>
        <v>4.0291176470588228</v>
      </c>
      <c r="AA34"/>
      <c r="AB34" s="123">
        <v>29</v>
      </c>
      <c r="AC34" s="124" t="s">
        <v>60</v>
      </c>
      <c r="AD34" s="127">
        <v>6000</v>
      </c>
      <c r="AE34" s="124">
        <v>2015</v>
      </c>
      <c r="AF34" s="284">
        <v>0.82999999999999985</v>
      </c>
      <c r="AG34"/>
    </row>
    <row r="35" spans="1:33" s="29" customFormat="1" x14ac:dyDescent="0.2">
      <c r="A35" s="61"/>
      <c r="B35" s="62"/>
      <c r="D35" s="123">
        <v>30</v>
      </c>
      <c r="E35" s="124" t="s">
        <v>60</v>
      </c>
      <c r="F35" s="127">
        <v>6000</v>
      </c>
      <c r="G35" s="124">
        <v>2020</v>
      </c>
      <c r="H35" s="166">
        <v>628.20000000000005</v>
      </c>
      <c r="I35"/>
      <c r="J35" s="123">
        <v>30</v>
      </c>
      <c r="K35" s="124" t="s">
        <v>60</v>
      </c>
      <c r="L35" s="127">
        <v>6000</v>
      </c>
      <c r="M35" s="124">
        <v>2020</v>
      </c>
      <c r="N35" s="166">
        <v>11380500</v>
      </c>
      <c r="O35"/>
      <c r="P35" s="123">
        <v>30</v>
      </c>
      <c r="Q35" s="124" t="s">
        <v>60</v>
      </c>
      <c r="R35" s="127">
        <v>6000</v>
      </c>
      <c r="S35" s="124">
        <v>2020</v>
      </c>
      <c r="T35" s="166">
        <v>690409.99999999988</v>
      </c>
      <c r="U35"/>
      <c r="V35" s="123">
        <v>30</v>
      </c>
      <c r="W35" s="124" t="s">
        <v>60</v>
      </c>
      <c r="X35" s="127">
        <v>6000</v>
      </c>
      <c r="Y35" s="124">
        <v>2020</v>
      </c>
      <c r="Z35" s="290">
        <f>'Price evolution'!$L$37*0.0893092105263158</f>
        <v>3.942324868845493</v>
      </c>
      <c r="AA35"/>
      <c r="AB35" s="123">
        <v>30</v>
      </c>
      <c r="AC35" s="124" t="s">
        <v>60</v>
      </c>
      <c r="AD35" s="127">
        <v>6000</v>
      </c>
      <c r="AE35" s="124">
        <v>2020</v>
      </c>
      <c r="AF35" s="284">
        <v>0.80499999999999994</v>
      </c>
      <c r="AG35"/>
    </row>
    <row r="36" spans="1:33" s="29" customFormat="1" x14ac:dyDescent="0.2">
      <c r="A36" s="61"/>
      <c r="B36" s="62"/>
      <c r="D36" s="123">
        <v>31</v>
      </c>
      <c r="E36" s="124" t="s">
        <v>60</v>
      </c>
      <c r="F36" s="127">
        <v>6000</v>
      </c>
      <c r="G36" s="124">
        <v>2025</v>
      </c>
      <c r="H36" s="166">
        <v>628.20000000000005</v>
      </c>
      <c r="I36"/>
      <c r="J36" s="123">
        <v>31</v>
      </c>
      <c r="K36" s="124" t="s">
        <v>60</v>
      </c>
      <c r="L36" s="127">
        <v>6000</v>
      </c>
      <c r="M36" s="124">
        <v>2025</v>
      </c>
      <c r="N36" s="166">
        <v>10850633.333333334</v>
      </c>
      <c r="O36"/>
      <c r="P36" s="123">
        <v>31</v>
      </c>
      <c r="Q36" s="124" t="s">
        <v>60</v>
      </c>
      <c r="R36" s="127">
        <v>6000</v>
      </c>
      <c r="S36" s="124">
        <v>2025</v>
      </c>
      <c r="T36" s="166">
        <v>637375.99999999988</v>
      </c>
      <c r="U36"/>
      <c r="V36" s="123">
        <v>31</v>
      </c>
      <c r="W36" s="124" t="s">
        <v>60</v>
      </c>
      <c r="X36" s="127">
        <v>6000</v>
      </c>
      <c r="Y36" s="124">
        <v>2025</v>
      </c>
      <c r="Z36" s="290">
        <f>'Price evolution'!$M$37*0.0782866379310345</f>
        <v>3.6320404000724245</v>
      </c>
      <c r="AA36"/>
      <c r="AB36" s="123">
        <v>31</v>
      </c>
      <c r="AC36" s="124" t="s">
        <v>60</v>
      </c>
      <c r="AD36" s="127">
        <v>6000</v>
      </c>
      <c r="AE36" s="124">
        <v>2025</v>
      </c>
      <c r="AF36" s="284">
        <v>0.77250000000000008</v>
      </c>
      <c r="AG36"/>
    </row>
    <row r="37" spans="1:33" s="29" customFormat="1" ht="13.5" thickBot="1" x14ac:dyDescent="0.25">
      <c r="A37" s="61"/>
      <c r="B37" s="62"/>
      <c r="D37" s="125">
        <v>32</v>
      </c>
      <c r="E37" s="126" t="s">
        <v>60</v>
      </c>
      <c r="F37" s="128">
        <v>6000</v>
      </c>
      <c r="G37" s="126">
        <v>2030</v>
      </c>
      <c r="H37" s="167">
        <v>628.20000000000005</v>
      </c>
      <c r="I37"/>
      <c r="J37" s="125">
        <v>32</v>
      </c>
      <c r="K37" s="126" t="s">
        <v>60</v>
      </c>
      <c r="L37" s="128">
        <v>6000</v>
      </c>
      <c r="M37" s="126">
        <v>2030</v>
      </c>
      <c r="N37" s="167">
        <v>9901650</v>
      </c>
      <c r="O37"/>
      <c r="P37" s="125">
        <v>32</v>
      </c>
      <c r="Q37" s="126" t="s">
        <v>60</v>
      </c>
      <c r="R37" s="128">
        <v>6000</v>
      </c>
      <c r="S37" s="126">
        <v>2030</v>
      </c>
      <c r="T37" s="167">
        <v>553648</v>
      </c>
      <c r="U37"/>
      <c r="V37" s="125">
        <v>32</v>
      </c>
      <c r="W37" s="126" t="s">
        <v>60</v>
      </c>
      <c r="X37" s="128">
        <v>6000</v>
      </c>
      <c r="Y37" s="126">
        <v>2030</v>
      </c>
      <c r="Z37" s="572">
        <f>'Price evolution'!$N$37*0.0777909482758621</f>
        <v>3.7931407901969063</v>
      </c>
      <c r="AA37"/>
      <c r="AB37" s="125">
        <v>32</v>
      </c>
      <c r="AC37" s="126" t="s">
        <v>60</v>
      </c>
      <c r="AD37" s="128">
        <v>6000</v>
      </c>
      <c r="AE37" s="126">
        <v>2030</v>
      </c>
      <c r="AF37" s="309">
        <v>0.71000000000000008</v>
      </c>
      <c r="AG37"/>
    </row>
    <row r="38" spans="1:33" ht="13.5" thickTop="1" x14ac:dyDescent="0.2">
      <c r="U38" s="1"/>
      <c r="AG38"/>
    </row>
    <row r="39" spans="1:33" ht="13.5" thickBot="1" x14ac:dyDescent="0.25">
      <c r="AG39"/>
    </row>
    <row r="40" spans="1:33" ht="13.9" customHeight="1" thickTop="1" x14ac:dyDescent="0.2">
      <c r="E40" s="917">
        <f>SUMPRODUCT((E6:E37=E43)*(F6:F37=E45)*(G6:G37=E47)*(H6:H37))</f>
        <v>96</v>
      </c>
      <c r="H40" s="29"/>
      <c r="I40" s="29"/>
      <c r="K40" s="915">
        <f>SUMPRODUCT((K6:K37=$E$43)*(L6:L37=$E$45)*(M6:M37=$E$47)*(N6:N37))</f>
        <v>2496666.6666666665</v>
      </c>
      <c r="Q40" s="915">
        <f>SUMPRODUCT((Q6:Q37=$E$43)*(R6:R37=$E$45)*(S6:S37=$E$47)*(T6:T37))</f>
        <v>151000</v>
      </c>
      <c r="W40" s="913">
        <f>SUMPRODUCT((W6:W37=$E$43)*(X6:X37=$E$45)*(Y6:Y37=$E$47)*(Z6:Z37))</f>
        <v>4.0291176470588228</v>
      </c>
      <c r="X40" s="60"/>
      <c r="Y40" s="60"/>
      <c r="AC40" s="913">
        <f>SUMPRODUCT((AC6:AC37=$E$43)*(AD6:AD37=$E$45)*(AE6:AE37=$E$47)*(AF6:AF37))</f>
        <v>0.82999999999999985</v>
      </c>
      <c r="AG40"/>
    </row>
    <row r="41" spans="1:33" ht="13.9" customHeight="1" thickBot="1" x14ac:dyDescent="0.25">
      <c r="E41" s="918"/>
      <c r="H41" s="29"/>
      <c r="I41" s="138"/>
      <c r="J41" s="60"/>
      <c r="K41" s="916"/>
      <c r="L41" s="60"/>
      <c r="M41" s="60"/>
      <c r="N41" s="60"/>
      <c r="O41" s="60"/>
      <c r="P41" s="60"/>
      <c r="Q41" s="916"/>
      <c r="R41" s="60"/>
      <c r="S41" s="60"/>
      <c r="T41" s="60"/>
      <c r="U41" s="60"/>
      <c r="V41" s="60"/>
      <c r="W41" s="914"/>
      <c r="X41" s="60"/>
      <c r="Y41" s="60"/>
      <c r="Z41" s="60"/>
      <c r="AA41" s="60"/>
      <c r="AB41" s="60"/>
      <c r="AC41" s="914"/>
      <c r="AD41" s="60"/>
      <c r="AE41" s="60"/>
      <c r="AF41" s="60"/>
      <c r="AG41" s="283"/>
    </row>
    <row r="42" spans="1:33" ht="14.25" thickTop="1" thickBot="1" x14ac:dyDescent="0.25">
      <c r="H42" s="27"/>
      <c r="J42" s="60"/>
      <c r="K42" s="60"/>
      <c r="L42" s="60"/>
      <c r="M42" s="60"/>
      <c r="N42" s="60"/>
      <c r="O42" s="60"/>
      <c r="P42" s="60"/>
      <c r="Q42" s="60"/>
      <c r="R42" s="60"/>
      <c r="S42" s="60"/>
      <c r="T42" s="60"/>
      <c r="U42" s="60"/>
      <c r="V42" s="60"/>
      <c r="W42" s="60"/>
      <c r="X42" s="60"/>
      <c r="Y42" s="60"/>
      <c r="Z42" s="60"/>
      <c r="AA42" s="60"/>
      <c r="AB42" s="60"/>
      <c r="AC42" s="60"/>
      <c r="AD42" s="60"/>
      <c r="AE42" s="60"/>
      <c r="AF42" s="60"/>
      <c r="AG42" s="283"/>
    </row>
    <row r="43" spans="1:33" ht="25.15" customHeight="1" thickBot="1" x14ac:dyDescent="0.25">
      <c r="E43" s="131" t="str">
        <f>IF(Input!$E$14="Yes",F43,G43)</f>
        <v>Off site</v>
      </c>
      <c r="F43" s="136" t="s">
        <v>59</v>
      </c>
      <c r="G43" s="137" t="s">
        <v>60</v>
      </c>
      <c r="H43" s="29"/>
      <c r="I43" s="29"/>
      <c r="J43" s="60"/>
      <c r="K43" s="60"/>
      <c r="L43" s="60"/>
      <c r="M43" s="60"/>
      <c r="N43" s="60"/>
      <c r="O43" s="60"/>
      <c r="P43" s="60"/>
      <c r="Q43" s="60"/>
      <c r="R43" s="60"/>
      <c r="S43" s="60"/>
      <c r="T43" s="60"/>
      <c r="U43" s="60"/>
      <c r="V43" s="60"/>
      <c r="W43" s="60"/>
      <c r="X43" s="60"/>
      <c r="Y43" s="60"/>
      <c r="Z43" s="60"/>
      <c r="AA43" s="60"/>
      <c r="AB43" s="60"/>
      <c r="AC43" s="60"/>
      <c r="AD43" s="60"/>
      <c r="AE43" s="60"/>
      <c r="AF43" s="60"/>
      <c r="AG43" s="283"/>
    </row>
    <row r="44" spans="1:33" ht="13.5" thickBot="1" x14ac:dyDescent="0.25">
      <c r="E44" s="29"/>
      <c r="H44" s="29"/>
      <c r="I44" s="29"/>
      <c r="J44" s="60"/>
      <c r="K44" s="60"/>
      <c r="L44" s="60"/>
      <c r="M44" s="60"/>
      <c r="N44" s="60"/>
      <c r="O44" s="60"/>
      <c r="P44" s="60"/>
      <c r="Q44" s="60"/>
      <c r="R44" s="60"/>
      <c r="S44" s="60"/>
      <c r="T44" s="60"/>
      <c r="U44" s="60"/>
      <c r="V44" s="60"/>
      <c r="W44" s="60"/>
      <c r="X44" s="60"/>
      <c r="Y44" s="60"/>
      <c r="Z44" s="60"/>
      <c r="AA44" s="60"/>
      <c r="AB44" s="60"/>
      <c r="AC44" s="60"/>
      <c r="AD44" s="60"/>
      <c r="AE44" s="60"/>
      <c r="AF44" s="60"/>
      <c r="AG44" s="283"/>
    </row>
    <row r="45" spans="1:33" ht="25.15" customHeight="1" thickBot="1" x14ac:dyDescent="0.25">
      <c r="E45" s="132">
        <f>'Price evolution'!N28</f>
        <v>600</v>
      </c>
      <c r="F45" s="139">
        <v>600</v>
      </c>
      <c r="G45" s="140">
        <v>1500</v>
      </c>
      <c r="H45" s="140">
        <v>3000</v>
      </c>
      <c r="I45" s="141">
        <v>6000</v>
      </c>
      <c r="J45" s="60"/>
      <c r="K45" s="60"/>
      <c r="L45" s="60"/>
      <c r="M45" s="60"/>
      <c r="N45" s="60"/>
      <c r="O45" s="60"/>
      <c r="P45" s="60"/>
      <c r="Q45" s="60"/>
      <c r="R45" s="60"/>
      <c r="S45" s="60"/>
      <c r="T45" s="60"/>
      <c r="U45" s="60"/>
      <c r="V45" s="60"/>
      <c r="W45" s="60"/>
      <c r="X45" s="60"/>
      <c r="Y45" s="60"/>
      <c r="Z45" s="60"/>
      <c r="AA45" s="60"/>
      <c r="AB45" s="60"/>
      <c r="AC45" s="60"/>
      <c r="AD45" s="60"/>
      <c r="AE45" s="60"/>
      <c r="AF45" s="60"/>
      <c r="AG45" s="283"/>
    </row>
    <row r="46" spans="1:33" ht="13.5" thickBot="1" x14ac:dyDescent="0.25">
      <c r="E46" s="29"/>
      <c r="H46" s="29"/>
      <c r="I46" s="29"/>
      <c r="L46" s="27"/>
      <c r="M46" s="29"/>
      <c r="N46" s="29"/>
      <c r="Q46" s="27"/>
      <c r="R46" s="27"/>
      <c r="S46" s="29"/>
      <c r="T46" s="29"/>
      <c r="W46" s="27"/>
      <c r="X46" s="27"/>
      <c r="Y46" s="29"/>
      <c r="Z46" s="29"/>
      <c r="AC46" s="27"/>
      <c r="AD46" s="27"/>
      <c r="AE46" s="29"/>
      <c r="AF46" s="29"/>
    </row>
    <row r="47" spans="1:33" ht="25.15" customHeight="1" thickBot="1" x14ac:dyDescent="0.25">
      <c r="E47" s="131">
        <f>Input!G16</f>
        <v>2015</v>
      </c>
      <c r="F47" s="142">
        <v>2015</v>
      </c>
      <c r="G47" s="143">
        <v>2020</v>
      </c>
      <c r="H47" s="143">
        <v>2025</v>
      </c>
      <c r="I47" s="144">
        <v>2030</v>
      </c>
      <c r="L47" s="27"/>
      <c r="M47" s="29"/>
      <c r="N47" s="29"/>
      <c r="Q47" s="27"/>
      <c r="R47" s="27"/>
      <c r="S47" s="29"/>
      <c r="T47" s="29"/>
      <c r="W47" s="27"/>
      <c r="X47" s="27"/>
      <c r="Y47" s="29"/>
      <c r="Z47" s="29"/>
      <c r="AC47" s="27"/>
      <c r="AD47" s="27"/>
      <c r="AE47" s="29"/>
      <c r="AF47" s="29"/>
    </row>
    <row r="48" spans="1:33" x14ac:dyDescent="0.2">
      <c r="L48" s="27"/>
      <c r="M48" s="29"/>
      <c r="N48" s="29"/>
      <c r="Q48" s="27"/>
      <c r="R48" s="27"/>
      <c r="S48" s="29"/>
      <c r="T48" s="29"/>
      <c r="W48" s="27"/>
      <c r="X48" s="27"/>
      <c r="Y48" s="29"/>
      <c r="Z48" s="29"/>
      <c r="AC48" s="27"/>
      <c r="AD48" s="27"/>
      <c r="AE48" s="29"/>
      <c r="AF48" s="29"/>
    </row>
    <row r="49" spans="1:33" ht="13.15" hidden="1" x14ac:dyDescent="0.25">
      <c r="L49" s="27"/>
      <c r="M49" s="29"/>
      <c r="N49" s="138"/>
      <c r="Q49" s="27"/>
      <c r="R49" s="27"/>
      <c r="S49" s="29"/>
      <c r="T49" s="138"/>
      <c r="W49" s="27"/>
      <c r="X49" s="27"/>
      <c r="Y49" s="29"/>
      <c r="Z49" s="138"/>
      <c r="AC49" s="27"/>
      <c r="AD49" s="27"/>
      <c r="AE49" s="29"/>
      <c r="AF49" s="138"/>
    </row>
    <row r="50" spans="1:33" ht="13.15" hidden="1" x14ac:dyDescent="0.25"/>
    <row r="51" spans="1:33" ht="40.15" hidden="1" customHeight="1" x14ac:dyDescent="0.25"/>
    <row r="52" spans="1:33" ht="25.15" hidden="1" customHeight="1" x14ac:dyDescent="0.25"/>
    <row r="53" spans="1:33" ht="25.15" hidden="1" customHeight="1" x14ac:dyDescent="0.25"/>
    <row r="54" spans="1:33" ht="25.15" hidden="1" customHeight="1" x14ac:dyDescent="0.25"/>
    <row r="55" spans="1:33" s="9" customFormat="1" ht="25.15" hidden="1" customHeight="1" x14ac:dyDescent="0.25">
      <c r="A55" s="4"/>
      <c r="B55" s="15"/>
      <c r="AG55" s="27"/>
    </row>
    <row r="56" spans="1:33" s="9" customFormat="1" ht="25.15" hidden="1" customHeight="1" x14ac:dyDescent="0.25">
      <c r="A56" s="4"/>
      <c r="B56" s="15"/>
      <c r="AG56" s="27"/>
    </row>
    <row r="57" spans="1:33" ht="13.15" hidden="1" x14ac:dyDescent="0.25"/>
    <row r="58" spans="1:33" ht="27.6" hidden="1" customHeight="1" x14ac:dyDescent="0.25"/>
    <row r="59" spans="1:33" ht="30" hidden="1" customHeight="1" x14ac:dyDescent="0.25"/>
    <row r="60" spans="1:33" ht="13.15" hidden="1" x14ac:dyDescent="0.25"/>
    <row r="61" spans="1:33" ht="13.15" hidden="1" x14ac:dyDescent="0.25"/>
    <row r="62" spans="1:33" ht="13.15" hidden="1" x14ac:dyDescent="0.25"/>
    <row r="63" spans="1:33" ht="13.15" hidden="1" x14ac:dyDescent="0.25"/>
    <row r="64" spans="1:33" s="9" customFormat="1" ht="13.15" hidden="1" x14ac:dyDescent="0.25">
      <c r="A64" s="4"/>
      <c r="B64" s="15"/>
      <c r="AG64" s="27"/>
    </row>
    <row r="65" spans="1:33" ht="13.15" hidden="1" x14ac:dyDescent="0.25"/>
    <row r="66" spans="1:33" ht="13.15" hidden="1" x14ac:dyDescent="0.25"/>
    <row r="67" spans="1:33" ht="13.15" hidden="1" x14ac:dyDescent="0.25"/>
    <row r="68" spans="1:33" ht="13.15" hidden="1" x14ac:dyDescent="0.25"/>
    <row r="69" spans="1:33" s="9" customFormat="1" ht="13.15" hidden="1" x14ac:dyDescent="0.25">
      <c r="A69" s="4"/>
      <c r="B69" s="15"/>
      <c r="AG69" s="27"/>
    </row>
    <row r="70" spans="1:33" ht="13.15" hidden="1" x14ac:dyDescent="0.25"/>
    <row r="71" spans="1:33" ht="13.15" hidden="1" x14ac:dyDescent="0.25"/>
    <row r="72" spans="1:33" ht="13.15" hidden="1" x14ac:dyDescent="0.25"/>
    <row r="73" spans="1:33" ht="13.15" hidden="1" x14ac:dyDescent="0.25"/>
    <row r="74" spans="1:33" ht="13.15" hidden="1" x14ac:dyDescent="0.25"/>
    <row r="75" spans="1:33" ht="13.15" hidden="1" x14ac:dyDescent="0.25"/>
    <row r="76" spans="1:33" s="9" customFormat="1" ht="13.15" hidden="1" x14ac:dyDescent="0.25">
      <c r="A76" s="4"/>
      <c r="B76" s="15"/>
      <c r="AG76" s="27"/>
    </row>
    <row r="77" spans="1:33" ht="13.15" hidden="1" x14ac:dyDescent="0.25"/>
    <row r="78" spans="1:33" ht="13.15" hidden="1" x14ac:dyDescent="0.25"/>
    <row r="79" spans="1:33" ht="13.15" hidden="1" x14ac:dyDescent="0.25"/>
    <row r="80" spans="1:33" ht="13.15" hidden="1" x14ac:dyDescent="0.25"/>
    <row r="81" spans="1:33" ht="13.15" hidden="1" x14ac:dyDescent="0.25"/>
    <row r="82" spans="1:33" s="9" customFormat="1" ht="13.15" hidden="1" x14ac:dyDescent="0.25">
      <c r="A82" s="4"/>
      <c r="B82" s="15"/>
      <c r="AG82" s="27"/>
    </row>
    <row r="83" spans="1:33" ht="13.15" hidden="1" x14ac:dyDescent="0.25"/>
    <row r="84" spans="1:33" ht="13.15" hidden="1" x14ac:dyDescent="0.25"/>
    <row r="85" spans="1:33" ht="13.15" hidden="1" x14ac:dyDescent="0.25"/>
    <row r="86" spans="1:33" ht="13.15" hidden="1" x14ac:dyDescent="0.25"/>
    <row r="87" spans="1:33" ht="13.15" hidden="1" x14ac:dyDescent="0.25"/>
    <row r="88" spans="1:33" ht="13.15" hidden="1" x14ac:dyDescent="0.25"/>
    <row r="89" spans="1:33" ht="13.15" hidden="1" x14ac:dyDescent="0.25"/>
    <row r="90" spans="1:33" ht="13.15" hidden="1" x14ac:dyDescent="0.25"/>
    <row r="91" spans="1:33" ht="13.15" hidden="1" x14ac:dyDescent="0.25"/>
    <row r="92" spans="1:33" ht="13.15" hidden="1" x14ac:dyDescent="0.25"/>
    <row r="93" spans="1:33" ht="13.15" hidden="1" x14ac:dyDescent="0.25"/>
    <row r="94" spans="1:33" ht="13.15" hidden="1" x14ac:dyDescent="0.25"/>
    <row r="95" spans="1:33" ht="13.15" hidden="1" x14ac:dyDescent="0.25"/>
    <row r="96" spans="1:33" ht="13.15" hidden="1" x14ac:dyDescent="0.25"/>
    <row r="97" ht="13.15" hidden="1" x14ac:dyDescent="0.25"/>
    <row r="98" ht="13.15" hidden="1" x14ac:dyDescent="0.25"/>
    <row r="99" ht="13.15" hidden="1" x14ac:dyDescent="0.25"/>
    <row r="100" ht="13.15" hidden="1" x14ac:dyDescent="0.25"/>
    <row r="101" ht="13.15" hidden="1" x14ac:dyDescent="0.25"/>
    <row r="102" ht="13.15" hidden="1" x14ac:dyDescent="0.25"/>
    <row r="103" ht="13.15" hidden="1" x14ac:dyDescent="0.25"/>
    <row r="104" ht="13.15" hidden="1" x14ac:dyDescent="0.25"/>
    <row r="105" ht="13.15" hidden="1" x14ac:dyDescent="0.25"/>
    <row r="106" ht="13.15" hidden="1" x14ac:dyDescent="0.25"/>
    <row r="107" ht="13.15" hidden="1" x14ac:dyDescent="0.25"/>
    <row r="108" ht="13.15" hidden="1" x14ac:dyDescent="0.25"/>
    <row r="109" ht="13.15" hidden="1" x14ac:dyDescent="0.25"/>
    <row r="110" ht="13.15" hidden="1" x14ac:dyDescent="0.25"/>
    <row r="111" ht="13.15" hidden="1" x14ac:dyDescent="0.25"/>
    <row r="112" ht="13.15" hidden="1" x14ac:dyDescent="0.25"/>
    <row r="113" ht="13.15" hidden="1" x14ac:dyDescent="0.25"/>
    <row r="114" ht="13.15" hidden="1" x14ac:dyDescent="0.25"/>
    <row r="115" ht="13.15" hidden="1" x14ac:dyDescent="0.25"/>
    <row r="116" ht="13.15" hidden="1" x14ac:dyDescent="0.25"/>
  </sheetData>
  <sheetProtection password="E4B4" sheet="1" objects="1" scenarios="1" selectLockedCells="1" selectUnlockedCells="1"/>
  <mergeCells count="10">
    <mergeCell ref="E40:E41"/>
    <mergeCell ref="D4:H4"/>
    <mergeCell ref="J4:N4"/>
    <mergeCell ref="K40:K41"/>
    <mergeCell ref="P4:T4"/>
    <mergeCell ref="V4:Z4"/>
    <mergeCell ref="AB4:AF4"/>
    <mergeCell ref="W40:W41"/>
    <mergeCell ref="AC40:AC41"/>
    <mergeCell ref="Q40:Q41"/>
  </mergeCells>
  <dataValidations disablePrompts="1" count="1">
    <dataValidation allowBlank="1" sqref="E47 E45 E43"/>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FD40"/>
  <sheetViews>
    <sheetView showGridLines="0" showRowColHeaders="0" zoomScale="90" zoomScaleNormal="90" zoomScaleSheetLayoutView="85" workbookViewId="0">
      <selection activeCell="G4" sqref="G4"/>
    </sheetView>
  </sheetViews>
  <sheetFormatPr defaultColWidth="8.85546875" defaultRowHeight="0" customHeight="1" zeroHeight="1" x14ac:dyDescent="0.2"/>
  <cols>
    <col min="1" max="1" width="0.85546875" style="526" customWidth="1"/>
    <col min="2" max="2" width="0.42578125" style="527" customWidth="1"/>
    <col min="3" max="3" width="0.85546875" style="526" customWidth="1"/>
    <col min="4" max="4" width="3.5703125" style="534" customWidth="1"/>
    <col min="5" max="5" width="66.42578125" style="534" customWidth="1"/>
    <col min="6" max="6" width="58.7109375" style="534" customWidth="1"/>
    <col min="7" max="7" width="51" style="568" customWidth="1"/>
    <col min="8" max="10" width="0" style="568" hidden="1" customWidth="1"/>
    <col min="11" max="16383" width="8.85546875" style="568" hidden="1" customWidth="1"/>
    <col min="16384" max="16384" width="1.5703125" style="568" customWidth="1"/>
  </cols>
  <sheetData>
    <row r="1" spans="1:7 16384:16384" s="526" customFormat="1" ht="4.5" customHeight="1" x14ac:dyDescent="0.25">
      <c r="A1" s="526" t="s">
        <v>329</v>
      </c>
      <c r="B1" s="527"/>
    </row>
    <row r="2" spans="1:7 16384:16384" s="527" customFormat="1" ht="2.25" customHeight="1" x14ac:dyDescent="0.25"/>
    <row r="3" spans="1:7 16384:16384" s="526" customFormat="1" ht="4.5" customHeight="1" x14ac:dyDescent="0.25">
      <c r="B3" s="527"/>
    </row>
    <row r="4" spans="1:7 16384:16384" ht="40.15" customHeight="1" x14ac:dyDescent="0.25">
      <c r="A4" s="528"/>
      <c r="B4" s="529"/>
      <c r="C4" s="528"/>
      <c r="D4" s="567"/>
      <c r="E4" s="679"/>
      <c r="F4" s="567"/>
      <c r="G4" s="567"/>
      <c r="XFD4" s="567"/>
    </row>
    <row r="5" spans="1:7 16384:16384" s="570" customFormat="1" ht="37.5" customHeight="1" x14ac:dyDescent="0.25">
      <c r="A5" s="668"/>
      <c r="B5" s="533"/>
      <c r="C5" s="668"/>
      <c r="D5" s="569"/>
      <c r="E5" s="693" t="s">
        <v>434</v>
      </c>
      <c r="F5" s="693"/>
      <c r="G5" s="693"/>
    </row>
    <row r="6" spans="1:7 16384:16384" ht="7.5" customHeight="1" thickBot="1" x14ac:dyDescent="0.3">
      <c r="A6" s="668"/>
      <c r="D6" s="567"/>
      <c r="E6" s="710"/>
      <c r="F6" s="710"/>
      <c r="G6" s="710"/>
    </row>
    <row r="7" spans="1:7 16384:16384" ht="30" customHeight="1" x14ac:dyDescent="0.25">
      <c r="D7" s="567"/>
      <c r="E7" s="694" t="s">
        <v>331</v>
      </c>
      <c r="F7" s="695"/>
      <c r="G7" s="696"/>
    </row>
    <row r="8" spans="1:7 16384:16384" ht="40.15" customHeight="1" x14ac:dyDescent="0.2">
      <c r="D8" s="567"/>
      <c r="E8" s="711" t="s">
        <v>435</v>
      </c>
      <c r="F8" s="712"/>
      <c r="G8" s="713"/>
    </row>
    <row r="9" spans="1:7 16384:16384" ht="40.15" customHeight="1" x14ac:dyDescent="0.2">
      <c r="D9" s="567"/>
      <c r="E9" s="711"/>
      <c r="F9" s="712"/>
      <c r="G9" s="713"/>
    </row>
    <row r="10" spans="1:7 16384:16384" ht="40.15" customHeight="1" x14ac:dyDescent="0.2">
      <c r="D10" s="567"/>
      <c r="E10" s="711"/>
      <c r="F10" s="712"/>
      <c r="G10" s="713"/>
    </row>
    <row r="11" spans="1:7 16384:16384" s="570" customFormat="1" ht="103.5" customHeight="1" thickBot="1" x14ac:dyDescent="0.25">
      <c r="A11" s="532"/>
      <c r="B11" s="533"/>
      <c r="C11" s="532"/>
      <c r="D11" s="569"/>
      <c r="E11" s="700"/>
      <c r="F11" s="701"/>
      <c r="G11" s="702"/>
    </row>
    <row r="12" spans="1:7 16384:16384" ht="15" customHeight="1" thickBot="1" x14ac:dyDescent="0.25">
      <c r="D12" s="567"/>
      <c r="E12" s="714"/>
      <c r="F12" s="714"/>
      <c r="G12" s="714"/>
    </row>
    <row r="13" spans="1:7 16384:16384" s="9" customFormat="1" ht="30" customHeight="1" thickBot="1" x14ac:dyDescent="0.25">
      <c r="A13" s="532"/>
      <c r="B13" s="533"/>
      <c r="C13" s="532"/>
      <c r="D13" s="569"/>
      <c r="E13" s="694" t="s">
        <v>437</v>
      </c>
      <c r="F13" s="695"/>
      <c r="G13" s="696"/>
    </row>
    <row r="14" spans="1:7 16384:16384" s="9" customFormat="1" ht="55.15" customHeight="1" x14ac:dyDescent="0.2">
      <c r="A14" s="532"/>
      <c r="B14" s="533"/>
      <c r="C14" s="532"/>
      <c r="D14" s="569"/>
      <c r="E14" s="697" t="s">
        <v>440</v>
      </c>
      <c r="F14" s="698"/>
      <c r="G14" s="699"/>
    </row>
    <row r="15" spans="1:7 16384:16384" s="9" customFormat="1" ht="76.900000000000006" customHeight="1" thickBot="1" x14ac:dyDescent="0.25">
      <c r="A15" s="532"/>
      <c r="B15" s="533"/>
      <c r="C15" s="532"/>
      <c r="D15" s="569"/>
      <c r="E15" s="700"/>
      <c r="F15" s="701"/>
      <c r="G15" s="702"/>
    </row>
    <row r="16" spans="1:7 16384:16384" ht="15" customHeight="1" thickBot="1" x14ac:dyDescent="0.25">
      <c r="D16" s="678"/>
      <c r="E16" s="714"/>
      <c r="F16" s="714"/>
      <c r="G16" s="714"/>
    </row>
    <row r="17" spans="1:7" s="570" customFormat="1" ht="30" customHeight="1" thickBot="1" x14ac:dyDescent="0.25">
      <c r="A17" s="532"/>
      <c r="B17" s="533"/>
      <c r="C17" s="532"/>
      <c r="D17" s="569"/>
      <c r="E17" s="694" t="s">
        <v>438</v>
      </c>
      <c r="F17" s="695"/>
      <c r="G17" s="696"/>
    </row>
    <row r="18" spans="1:7" s="570" customFormat="1" ht="36" customHeight="1" x14ac:dyDescent="0.2">
      <c r="A18" s="532"/>
      <c r="B18" s="533"/>
      <c r="C18" s="532"/>
      <c r="D18" s="569"/>
      <c r="E18" s="697" t="s">
        <v>436</v>
      </c>
      <c r="F18" s="698"/>
      <c r="G18" s="699"/>
    </row>
    <row r="19" spans="1:7" s="570" customFormat="1" ht="39.75" customHeight="1" x14ac:dyDescent="0.2">
      <c r="A19" s="532"/>
      <c r="B19" s="533"/>
      <c r="C19" s="532"/>
      <c r="D19" s="569"/>
      <c r="E19" s="711"/>
      <c r="F19" s="712"/>
      <c r="G19" s="713"/>
    </row>
    <row r="20" spans="1:7" s="570" customFormat="1" ht="45" customHeight="1" x14ac:dyDescent="0.2">
      <c r="A20" s="532"/>
      <c r="B20" s="533"/>
      <c r="C20" s="532"/>
      <c r="D20" s="569"/>
      <c r="E20" s="711"/>
      <c r="F20" s="712"/>
      <c r="G20" s="713"/>
    </row>
    <row r="21" spans="1:7" s="570" customFormat="1" ht="45" customHeight="1" x14ac:dyDescent="0.2">
      <c r="A21" s="532"/>
      <c r="B21" s="533"/>
      <c r="C21" s="532"/>
      <c r="D21" s="569"/>
      <c r="E21" s="711"/>
      <c r="F21" s="712"/>
      <c r="G21" s="713"/>
    </row>
    <row r="22" spans="1:7" s="570" customFormat="1" ht="59.45" customHeight="1" x14ac:dyDescent="0.2">
      <c r="A22" s="532"/>
      <c r="B22" s="533"/>
      <c r="C22" s="532"/>
      <c r="D22" s="569"/>
      <c r="E22" s="711"/>
      <c r="F22" s="712"/>
      <c r="G22" s="713"/>
    </row>
    <row r="23" spans="1:7" s="570" customFormat="1" ht="102.75" customHeight="1" thickBot="1" x14ac:dyDescent="0.25">
      <c r="A23" s="532"/>
      <c r="B23" s="533"/>
      <c r="C23" s="532"/>
      <c r="D23" s="569"/>
      <c r="E23" s="700"/>
      <c r="F23" s="701"/>
      <c r="G23" s="702"/>
    </row>
    <row r="24" spans="1:7" ht="15" customHeight="1" thickBot="1" x14ac:dyDescent="0.25">
      <c r="D24" s="678"/>
      <c r="E24" s="714"/>
      <c r="F24" s="714"/>
      <c r="G24" s="714"/>
    </row>
    <row r="25" spans="1:7" s="9" customFormat="1" ht="30" customHeight="1" x14ac:dyDescent="0.2">
      <c r="A25" s="532"/>
      <c r="B25" s="533"/>
      <c r="C25" s="532"/>
      <c r="D25" s="569"/>
      <c r="E25" s="694" t="s">
        <v>439</v>
      </c>
      <c r="F25" s="695"/>
      <c r="G25" s="696"/>
    </row>
    <row r="26" spans="1:7" s="9" customFormat="1" ht="46.9" customHeight="1" x14ac:dyDescent="0.2">
      <c r="A26" s="532"/>
      <c r="B26" s="533"/>
      <c r="C26" s="532"/>
      <c r="D26" s="569"/>
      <c r="E26" s="703" t="s">
        <v>445</v>
      </c>
      <c r="F26" s="704"/>
      <c r="G26" s="705"/>
    </row>
    <row r="27" spans="1:7" s="9" customFormat="1" ht="46.9" customHeight="1" x14ac:dyDescent="0.2">
      <c r="A27" s="532"/>
      <c r="B27" s="533"/>
      <c r="C27" s="532"/>
      <c r="D27" s="569"/>
      <c r="E27" s="706"/>
      <c r="F27" s="704"/>
      <c r="G27" s="705"/>
    </row>
    <row r="28" spans="1:7" s="9" customFormat="1" ht="46.9" customHeight="1" x14ac:dyDescent="0.2">
      <c r="A28" s="532"/>
      <c r="B28" s="533"/>
      <c r="C28" s="532"/>
      <c r="D28" s="569"/>
      <c r="E28" s="706"/>
      <c r="F28" s="704"/>
      <c r="G28" s="705"/>
    </row>
    <row r="29" spans="1:7" s="9" customFormat="1" ht="46.9" customHeight="1" x14ac:dyDescent="0.2">
      <c r="A29" s="532"/>
      <c r="B29" s="533"/>
      <c r="C29" s="532"/>
      <c r="D29" s="569"/>
      <c r="E29" s="706"/>
      <c r="F29" s="704"/>
      <c r="G29" s="705"/>
    </row>
    <row r="30" spans="1:7" s="9" customFormat="1" ht="46.9" customHeight="1" x14ac:dyDescent="0.2">
      <c r="A30" s="532"/>
      <c r="B30" s="533"/>
      <c r="C30" s="532"/>
      <c r="D30" s="569"/>
      <c r="E30" s="706"/>
      <c r="F30" s="704"/>
      <c r="G30" s="705"/>
    </row>
    <row r="31" spans="1:7" s="9" customFormat="1" ht="46.9" customHeight="1" x14ac:dyDescent="0.2">
      <c r="A31" s="532"/>
      <c r="B31" s="533"/>
      <c r="C31" s="532"/>
      <c r="D31" s="569"/>
      <c r="E31" s="706"/>
      <c r="F31" s="704"/>
      <c r="G31" s="705"/>
    </row>
    <row r="32" spans="1:7" s="9" customFormat="1" ht="46.9" customHeight="1" x14ac:dyDescent="0.2">
      <c r="A32" s="532"/>
      <c r="B32" s="533"/>
      <c r="C32" s="532"/>
      <c r="D32" s="569"/>
      <c r="E32" s="706"/>
      <c r="F32" s="704"/>
      <c r="G32" s="705"/>
    </row>
    <row r="33" spans="1:7" s="9" customFormat="1" ht="46.9" customHeight="1" x14ac:dyDescent="0.2">
      <c r="A33" s="532"/>
      <c r="B33" s="533"/>
      <c r="C33" s="532"/>
      <c r="D33" s="569"/>
      <c r="E33" s="706"/>
      <c r="F33" s="704"/>
      <c r="G33" s="705"/>
    </row>
    <row r="34" spans="1:7" s="9" customFormat="1" ht="46.9" customHeight="1" x14ac:dyDescent="0.2">
      <c r="A34" s="532"/>
      <c r="B34" s="533"/>
      <c r="C34" s="532"/>
      <c r="D34" s="569"/>
      <c r="E34" s="706"/>
      <c r="F34" s="704"/>
      <c r="G34" s="705"/>
    </row>
    <row r="35" spans="1:7" s="9" customFormat="1" ht="46.9" customHeight="1" x14ac:dyDescent="0.2">
      <c r="A35" s="532"/>
      <c r="B35" s="533"/>
      <c r="C35" s="532"/>
      <c r="D35" s="569"/>
      <c r="E35" s="706"/>
      <c r="F35" s="704"/>
      <c r="G35" s="705"/>
    </row>
    <row r="36" spans="1:7" s="9" customFormat="1" ht="46.9" customHeight="1" x14ac:dyDescent="0.2">
      <c r="A36" s="532"/>
      <c r="B36" s="533"/>
      <c r="C36" s="532"/>
      <c r="D36" s="569"/>
      <c r="E36" s="706"/>
      <c r="F36" s="704"/>
      <c r="G36" s="705"/>
    </row>
    <row r="37" spans="1:7" s="9" customFormat="1" ht="46.9" customHeight="1" x14ac:dyDescent="0.2">
      <c r="A37" s="532"/>
      <c r="B37" s="533"/>
      <c r="C37" s="532"/>
      <c r="D37" s="569"/>
      <c r="E37" s="706"/>
      <c r="F37" s="704"/>
      <c r="G37" s="705"/>
    </row>
    <row r="38" spans="1:7" s="9" customFormat="1" ht="66.599999999999994" customHeight="1" x14ac:dyDescent="0.2">
      <c r="A38" s="532"/>
      <c r="B38" s="533"/>
      <c r="C38" s="532"/>
      <c r="D38" s="569"/>
      <c r="E38" s="706"/>
      <c r="F38" s="704"/>
      <c r="G38" s="705"/>
    </row>
    <row r="39" spans="1:7" s="9" customFormat="1" ht="63.75" customHeight="1" thickBot="1" x14ac:dyDescent="0.25">
      <c r="A39" s="532"/>
      <c r="B39" s="533"/>
      <c r="C39" s="532"/>
      <c r="D39" s="569"/>
      <c r="E39" s="707"/>
      <c r="F39" s="708"/>
      <c r="G39" s="709"/>
    </row>
    <row r="40" spans="1:7" s="9" customFormat="1" ht="34.5" customHeight="1" x14ac:dyDescent="0.2">
      <c r="A40" s="532"/>
      <c r="B40" s="533"/>
      <c r="C40" s="532"/>
      <c r="D40" s="569"/>
      <c r="E40" s="571"/>
      <c r="F40" s="571"/>
      <c r="G40" s="571"/>
    </row>
  </sheetData>
  <sheetProtection password="C6B3" sheet="1" objects="1" scenarios="1" selectLockedCells="1" selectUnlockedCells="1"/>
  <mergeCells count="13">
    <mergeCell ref="E5:G5"/>
    <mergeCell ref="E13:G13"/>
    <mergeCell ref="E14:G15"/>
    <mergeCell ref="E25:G25"/>
    <mergeCell ref="E26:G39"/>
    <mergeCell ref="E6:G6"/>
    <mergeCell ref="E7:G7"/>
    <mergeCell ref="E8:G11"/>
    <mergeCell ref="E12:G12"/>
    <mergeCell ref="E17:G17"/>
    <mergeCell ref="E18:G23"/>
    <mergeCell ref="E16:G16"/>
    <mergeCell ref="E24:G24"/>
  </mergeCells>
  <pageMargins left="0.7" right="0.7" top="0.75" bottom="0.75" header="0.3" footer="0.3"/>
  <pageSetup paperSize="9" scale="48" orientation="portrait" r:id="rId1"/>
  <headerFooter>
    <oddFooter>&amp;L&amp;"Arial,Bold"&amp;13 12 octombrie 2011&amp;RPag. &amp;P/&amp;N</oddFooter>
  </headerFooter>
  <rowBreaks count="1" manualBreakCount="1">
    <brk id="23" max="9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1:BB143"/>
  <sheetViews>
    <sheetView showGridLines="0" zoomScale="55" zoomScaleNormal="55" zoomScaleSheetLayoutView="40" workbookViewId="0">
      <selection activeCell="E6" sqref="E6"/>
    </sheetView>
  </sheetViews>
  <sheetFormatPr defaultColWidth="0" defaultRowHeight="12.75" zeroHeight="1" x14ac:dyDescent="0.2"/>
  <cols>
    <col min="1" max="1" width="1.140625" style="4" customWidth="1"/>
    <col min="2" max="2" width="1.140625" style="15" customWidth="1"/>
    <col min="3" max="3" width="3.28515625" style="67" customWidth="1"/>
    <col min="4" max="4" width="74.5703125" customWidth="1"/>
    <col min="5" max="6" width="11.7109375" customWidth="1"/>
    <col min="7" max="12" width="11.42578125" style="9" customWidth="1"/>
    <col min="13" max="20" width="11.42578125" customWidth="1"/>
    <col min="21" max="21" width="11.7109375" customWidth="1"/>
    <col min="22" max="22" width="2.42578125" customWidth="1"/>
    <col min="23" max="54" width="0" hidden="1" customWidth="1"/>
    <col min="55" max="16384" width="8.85546875" hidden="1"/>
  </cols>
  <sheetData>
    <row r="1" spans="1:54" s="4" customFormat="1" ht="6" customHeight="1" thickBot="1" x14ac:dyDescent="0.3">
      <c r="B1" s="15"/>
    </row>
    <row r="2" spans="1:54" s="14" customFormat="1" ht="6" customHeight="1" thickTop="1" x14ac:dyDescent="0.25">
      <c r="B2" s="16"/>
    </row>
    <row r="3" spans="1:54" s="3" customFormat="1" ht="40.15" customHeight="1" x14ac:dyDescent="0.25">
      <c r="A3" s="4"/>
      <c r="B3" s="15"/>
      <c r="C3" s="60"/>
      <c r="D3" s="675"/>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row>
    <row r="4" spans="1:54" s="475" customFormat="1" ht="40.15" customHeight="1" thickBot="1" x14ac:dyDescent="0.3">
      <c r="A4" s="472"/>
      <c r="B4" s="473"/>
      <c r="C4" s="474"/>
      <c r="D4" s="476" t="s">
        <v>335</v>
      </c>
      <c r="G4" s="334" t="str">
        <f>IF('Cost analysis'!F45&lt;Input!$E$16," TCO not taking into account hydrogen infrastructure costs until "&amp;Input!$E$16,"")</f>
        <v/>
      </c>
    </row>
    <row r="5" spans="1:54" s="9" customFormat="1" ht="30" customHeight="1" x14ac:dyDescent="0.25">
      <c r="A5" s="4"/>
      <c r="B5" s="15"/>
      <c r="C5" s="60"/>
      <c r="D5" s="423" t="s">
        <v>312</v>
      </c>
      <c r="E5" s="424">
        <v>2015</v>
      </c>
      <c r="F5" s="424">
        <f t="shared" ref="F5:T5" si="0">E5+1</f>
        <v>2016</v>
      </c>
      <c r="G5" s="424">
        <f t="shared" si="0"/>
        <v>2017</v>
      </c>
      <c r="H5" s="424">
        <f t="shared" si="0"/>
        <v>2018</v>
      </c>
      <c r="I5" s="424">
        <f t="shared" si="0"/>
        <v>2019</v>
      </c>
      <c r="J5" s="424">
        <f t="shared" si="0"/>
        <v>2020</v>
      </c>
      <c r="K5" s="424">
        <f t="shared" si="0"/>
        <v>2021</v>
      </c>
      <c r="L5" s="424">
        <f t="shared" si="0"/>
        <v>2022</v>
      </c>
      <c r="M5" s="424">
        <f t="shared" si="0"/>
        <v>2023</v>
      </c>
      <c r="N5" s="424">
        <f t="shared" si="0"/>
        <v>2024</v>
      </c>
      <c r="O5" s="424">
        <f t="shared" si="0"/>
        <v>2025</v>
      </c>
      <c r="P5" s="424">
        <f t="shared" si="0"/>
        <v>2026</v>
      </c>
      <c r="Q5" s="424">
        <f t="shared" si="0"/>
        <v>2027</v>
      </c>
      <c r="R5" s="424">
        <f t="shared" si="0"/>
        <v>2028</v>
      </c>
      <c r="S5" s="424">
        <f t="shared" si="0"/>
        <v>2029</v>
      </c>
      <c r="T5" s="425">
        <f t="shared" si="0"/>
        <v>2030</v>
      </c>
      <c r="U5" s="425" t="s">
        <v>332</v>
      </c>
    </row>
    <row r="6" spans="1:54" s="29" customFormat="1" ht="25.15" customHeight="1" x14ac:dyDescent="0.25">
      <c r="A6" s="61"/>
      <c r="B6" s="62"/>
      <c r="C6" s="404"/>
      <c r="D6" s="420" t="s">
        <v>237</v>
      </c>
      <c r="E6" s="554">
        <v>0</v>
      </c>
      <c r="F6" s="554">
        <v>0</v>
      </c>
      <c r="G6" s="554">
        <v>0</v>
      </c>
      <c r="H6" s="554">
        <v>0</v>
      </c>
      <c r="I6" s="554">
        <v>0</v>
      </c>
      <c r="J6" s="554">
        <v>0</v>
      </c>
      <c r="K6" s="554">
        <v>0</v>
      </c>
      <c r="L6" s="554">
        <v>0</v>
      </c>
      <c r="M6" s="554">
        <v>0</v>
      </c>
      <c r="N6" s="554">
        <v>0</v>
      </c>
      <c r="O6" s="554">
        <v>0</v>
      </c>
      <c r="P6" s="554">
        <v>0</v>
      </c>
      <c r="Q6" s="554">
        <v>0</v>
      </c>
      <c r="R6" s="554">
        <v>0</v>
      </c>
      <c r="S6" s="554">
        <v>0</v>
      </c>
      <c r="T6" s="555">
        <v>0</v>
      </c>
      <c r="U6" s="544">
        <f>SUM(E6:T6)</f>
        <v>0</v>
      </c>
    </row>
    <row r="7" spans="1:54" s="29" customFormat="1" ht="25.15" customHeight="1" thickBot="1" x14ac:dyDescent="0.3">
      <c r="A7" s="61"/>
      <c r="B7" s="62"/>
      <c r="C7" s="404"/>
      <c r="D7" s="76" t="s">
        <v>236</v>
      </c>
      <c r="E7" s="556">
        <v>0</v>
      </c>
      <c r="F7" s="556">
        <v>0</v>
      </c>
      <c r="G7" s="556">
        <v>0</v>
      </c>
      <c r="H7" s="556">
        <v>0</v>
      </c>
      <c r="I7" s="556">
        <v>0</v>
      </c>
      <c r="J7" s="556">
        <v>0</v>
      </c>
      <c r="K7" s="556">
        <v>0</v>
      </c>
      <c r="L7" s="556">
        <v>0</v>
      </c>
      <c r="M7" s="556">
        <v>0</v>
      </c>
      <c r="N7" s="556">
        <v>0</v>
      </c>
      <c r="O7" s="556">
        <v>0</v>
      </c>
      <c r="P7" s="556">
        <v>0</v>
      </c>
      <c r="Q7" s="556">
        <v>0</v>
      </c>
      <c r="R7" s="556">
        <v>0</v>
      </c>
      <c r="S7" s="556">
        <v>0</v>
      </c>
      <c r="T7" s="557">
        <v>0</v>
      </c>
      <c r="U7" s="545">
        <f>SUM(E7:T7)</f>
        <v>0</v>
      </c>
    </row>
    <row r="8" spans="1:54" s="29" customFormat="1" ht="25.15" customHeight="1" thickBot="1" x14ac:dyDescent="0.3">
      <c r="A8" s="61"/>
      <c r="B8" s="62"/>
      <c r="C8" s="404"/>
      <c r="D8" s="426" t="s">
        <v>235</v>
      </c>
      <c r="E8" s="421">
        <f t="shared" ref="E8:T8" si="1">E6+E7</f>
        <v>0</v>
      </c>
      <c r="F8" s="421">
        <f t="shared" si="1"/>
        <v>0</v>
      </c>
      <c r="G8" s="421">
        <f t="shared" si="1"/>
        <v>0</v>
      </c>
      <c r="H8" s="421">
        <f t="shared" si="1"/>
        <v>0</v>
      </c>
      <c r="I8" s="421">
        <f t="shared" si="1"/>
        <v>0</v>
      </c>
      <c r="J8" s="421">
        <f t="shared" si="1"/>
        <v>0</v>
      </c>
      <c r="K8" s="421">
        <f t="shared" si="1"/>
        <v>0</v>
      </c>
      <c r="L8" s="421">
        <f t="shared" si="1"/>
        <v>0</v>
      </c>
      <c r="M8" s="421">
        <f t="shared" si="1"/>
        <v>0</v>
      </c>
      <c r="N8" s="421">
        <f t="shared" si="1"/>
        <v>0</v>
      </c>
      <c r="O8" s="421">
        <f t="shared" si="1"/>
        <v>0</v>
      </c>
      <c r="P8" s="421">
        <f t="shared" si="1"/>
        <v>0</v>
      </c>
      <c r="Q8" s="421">
        <f t="shared" si="1"/>
        <v>0</v>
      </c>
      <c r="R8" s="421">
        <f t="shared" si="1"/>
        <v>0</v>
      </c>
      <c r="S8" s="421">
        <f t="shared" si="1"/>
        <v>0</v>
      </c>
      <c r="T8" s="422">
        <f t="shared" si="1"/>
        <v>0</v>
      </c>
      <c r="U8" s="546">
        <f t="shared" ref="U8" si="2">U6+U7</f>
        <v>0</v>
      </c>
    </row>
    <row r="9" spans="1:54" s="9" customFormat="1" ht="7.9" customHeight="1" thickBot="1" x14ac:dyDescent="0.3">
      <c r="A9" s="4"/>
      <c r="B9" s="15"/>
      <c r="C9" s="67"/>
    </row>
    <row r="10" spans="1:54" s="9" customFormat="1" ht="34.9" hidden="1" customHeight="1" thickBot="1" x14ac:dyDescent="0.3">
      <c r="A10" s="4"/>
      <c r="B10" s="15"/>
      <c r="C10" s="669"/>
      <c r="D10" s="435" t="s">
        <v>313</v>
      </c>
      <c r="E10" s="775" t="s">
        <v>268</v>
      </c>
      <c r="F10" s="775"/>
      <c r="G10" s="436" t="s">
        <v>28</v>
      </c>
      <c r="H10" s="774" t="s">
        <v>269</v>
      </c>
      <c r="I10" s="775"/>
      <c r="J10" s="436" t="s">
        <v>28</v>
      </c>
      <c r="K10" s="774" t="s">
        <v>275</v>
      </c>
      <c r="L10" s="775"/>
      <c r="M10" s="436" t="s">
        <v>28</v>
      </c>
      <c r="N10" s="774" t="s">
        <v>270</v>
      </c>
      <c r="O10" s="775"/>
      <c r="P10" s="436" t="s">
        <v>28</v>
      </c>
      <c r="Q10" s="774" t="s">
        <v>271</v>
      </c>
      <c r="R10" s="775"/>
      <c r="S10" s="436" t="s">
        <v>28</v>
      </c>
    </row>
    <row r="11" spans="1:54" s="9" customFormat="1" ht="7.9" hidden="1" customHeight="1" thickBot="1" x14ac:dyDescent="0.3">
      <c r="A11" s="4"/>
      <c r="B11" s="15"/>
      <c r="C11" s="67"/>
    </row>
    <row r="12" spans="1:54" s="9" customFormat="1" ht="34.9" customHeight="1" thickBot="1" x14ac:dyDescent="0.25">
      <c r="A12" s="4"/>
      <c r="B12" s="15"/>
      <c r="C12" s="404"/>
      <c r="D12" s="670" t="s">
        <v>386</v>
      </c>
      <c r="E12" s="775" t="s">
        <v>272</v>
      </c>
      <c r="F12" s="775"/>
      <c r="G12" s="558" t="s">
        <v>28</v>
      </c>
      <c r="H12" s="776" t="s">
        <v>273</v>
      </c>
      <c r="I12" s="777"/>
      <c r="J12" s="622" t="s">
        <v>6</v>
      </c>
      <c r="K12" s="777" t="s">
        <v>274</v>
      </c>
      <c r="L12" s="777"/>
      <c r="M12" s="622" t="s">
        <v>6</v>
      </c>
      <c r="P12" s="477"/>
    </row>
    <row r="13" spans="1:54" s="9" customFormat="1" ht="7.9" customHeight="1" thickBot="1" x14ac:dyDescent="0.3">
      <c r="A13" s="4"/>
      <c r="B13" s="15"/>
      <c r="C13" s="67"/>
    </row>
    <row r="14" spans="1:54" s="9" customFormat="1" ht="34.9" customHeight="1" thickBot="1" x14ac:dyDescent="0.3">
      <c r="A14" s="4"/>
      <c r="B14" s="15"/>
      <c r="C14" s="404"/>
      <c r="D14" s="671" t="s">
        <v>392</v>
      </c>
      <c r="E14" s="778" t="s">
        <v>6</v>
      </c>
      <c r="F14" s="779"/>
      <c r="G14" s="433" t="s">
        <v>28</v>
      </c>
      <c r="H14" s="433" t="s">
        <v>6</v>
      </c>
      <c r="I14" s="29"/>
      <c r="J14" s="715" t="str">
        <f>IF($G$12="Yes","TSC development - 12 - 13.5 m FC bus [EUR/ km]", "TCO development - 12 - 13.5 m FC bus [EUR/ km]")</f>
        <v>TSC development - 12 - 13.5 m FC bus [EUR/ km]</v>
      </c>
      <c r="K14" s="716"/>
      <c r="L14" s="716"/>
      <c r="M14" s="716"/>
      <c r="N14" s="716"/>
      <c r="O14" s="716"/>
      <c r="P14" s="716"/>
      <c r="Q14" s="716"/>
      <c r="R14" s="716"/>
      <c r="S14" s="29"/>
      <c r="T14" s="29"/>
    </row>
    <row r="15" spans="1:54" s="9" customFormat="1" ht="7.9" customHeight="1" thickBot="1" x14ac:dyDescent="0.3">
      <c r="A15" s="4"/>
      <c r="B15" s="15"/>
      <c r="C15" s="404"/>
      <c r="D15" s="403"/>
      <c r="E15" s="410"/>
      <c r="F15" s="410"/>
      <c r="G15" s="29"/>
      <c r="H15" s="29"/>
      <c r="I15" s="29"/>
      <c r="J15" s="29"/>
      <c r="K15" s="29"/>
      <c r="L15" s="29"/>
      <c r="M15" s="29"/>
      <c r="N15" s="29"/>
      <c r="O15" s="29"/>
      <c r="P15" s="29"/>
      <c r="Q15" s="29"/>
      <c r="R15" s="29"/>
      <c r="S15" s="29"/>
      <c r="T15" s="29"/>
    </row>
    <row r="16" spans="1:54" s="9" customFormat="1" ht="34.9" customHeight="1" thickBot="1" x14ac:dyDescent="0.3">
      <c r="A16" s="4"/>
      <c r="B16" s="15"/>
      <c r="C16" s="404"/>
      <c r="D16" s="654" t="s">
        <v>393</v>
      </c>
      <c r="E16" s="786">
        <v>2015</v>
      </c>
      <c r="F16" s="787"/>
      <c r="G16" s="419">
        <f>IF($E$16&lt;2016,2015,IF($E$16&lt;2021,2020,IF($E$16&lt;2026,2025,2030)))</f>
        <v>2015</v>
      </c>
      <c r="H16" s="29"/>
      <c r="I16" s="29"/>
      <c r="J16" s="29"/>
      <c r="K16" s="29"/>
      <c r="L16" s="29"/>
      <c r="M16" s="29"/>
      <c r="N16" s="29"/>
      <c r="O16" s="29"/>
      <c r="P16" s="29"/>
      <c r="Q16" s="29"/>
      <c r="R16" s="433"/>
      <c r="S16" s="433"/>
      <c r="T16" s="29"/>
    </row>
    <row r="17" spans="1:20" s="9" customFormat="1" ht="7.9" customHeight="1" thickBot="1" x14ac:dyDescent="0.3">
      <c r="A17" s="4"/>
      <c r="B17" s="15"/>
      <c r="C17" s="404"/>
      <c r="G17" s="29"/>
      <c r="H17" s="29"/>
      <c r="I17" s="29"/>
      <c r="J17" s="29"/>
      <c r="K17" s="29"/>
      <c r="L17" s="29"/>
      <c r="M17" s="29"/>
      <c r="N17" s="29"/>
      <c r="O17" s="29"/>
      <c r="P17" s="29"/>
      <c r="Q17" s="29"/>
      <c r="R17" s="29"/>
      <c r="S17" s="29"/>
      <c r="T17" s="29"/>
    </row>
    <row r="18" spans="1:20" s="9" customFormat="1" ht="34.9" hidden="1" customHeight="1" thickBot="1" x14ac:dyDescent="0.3">
      <c r="A18" s="4"/>
      <c r="B18" s="15"/>
      <c r="C18" s="67"/>
      <c r="D18" s="426" t="s">
        <v>243</v>
      </c>
      <c r="E18" s="788" t="s">
        <v>32</v>
      </c>
      <c r="F18" s="789"/>
      <c r="G18" s="230" t="s">
        <v>32</v>
      </c>
      <c r="H18" s="230" t="s">
        <v>109</v>
      </c>
      <c r="I18" s="418" t="s">
        <v>110</v>
      </c>
      <c r="J18" s="29"/>
      <c r="K18" s="29"/>
      <c r="L18" s="29"/>
      <c r="M18" s="29"/>
      <c r="N18" s="29"/>
      <c r="O18" s="29"/>
      <c r="P18" s="29"/>
      <c r="Q18" s="29"/>
      <c r="R18" s="29"/>
      <c r="S18" s="29"/>
      <c r="T18" s="29"/>
    </row>
    <row r="19" spans="1:20" s="9" customFormat="1" ht="7.9" hidden="1" customHeight="1" thickBot="1" x14ac:dyDescent="0.3">
      <c r="A19" s="4"/>
      <c r="B19" s="15"/>
      <c r="C19" s="67"/>
      <c r="G19" s="29"/>
      <c r="H19" s="29"/>
      <c r="I19" s="29"/>
      <c r="J19" s="29"/>
      <c r="K19" s="29"/>
      <c r="L19" s="29"/>
      <c r="M19" s="29"/>
      <c r="N19" s="29"/>
      <c r="O19" s="29"/>
      <c r="P19" s="29"/>
      <c r="Q19" s="29"/>
      <c r="R19" s="29"/>
      <c r="S19" s="29"/>
      <c r="T19" s="29"/>
    </row>
    <row r="20" spans="1:20" ht="34.9" customHeight="1" thickBot="1" x14ac:dyDescent="0.3">
      <c r="D20" s="547" t="s">
        <v>244</v>
      </c>
      <c r="E20" s="786" t="s">
        <v>0</v>
      </c>
      <c r="F20" s="787"/>
      <c r="G20" s="319" t="s">
        <v>0</v>
      </c>
      <c r="H20" s="319" t="s">
        <v>113</v>
      </c>
      <c r="I20" s="319" t="s">
        <v>114</v>
      </c>
      <c r="J20" s="319" t="s">
        <v>152</v>
      </c>
      <c r="K20" s="29"/>
      <c r="L20" s="29"/>
      <c r="M20" s="29"/>
      <c r="N20" s="29"/>
      <c r="O20" s="29"/>
      <c r="P20" s="29"/>
      <c r="Q20" s="29"/>
      <c r="R20" s="434"/>
      <c r="S20" s="434"/>
      <c r="T20" s="29"/>
    </row>
    <row r="21" spans="1:20" s="9" customFormat="1" ht="34.9" customHeight="1" x14ac:dyDescent="0.25">
      <c r="A21" s="4"/>
      <c r="B21" s="15"/>
      <c r="C21" s="67"/>
      <c r="G21" s="319"/>
      <c r="H21" s="319"/>
      <c r="I21" s="319"/>
      <c r="J21" s="319"/>
      <c r="K21" s="29"/>
      <c r="L21" s="29"/>
      <c r="M21" s="29"/>
      <c r="N21" s="29"/>
      <c r="O21" s="29"/>
      <c r="P21" s="29"/>
      <c r="Q21" s="29"/>
      <c r="R21" s="434"/>
      <c r="S21" s="434"/>
      <c r="T21" s="29"/>
    </row>
    <row r="22" spans="1:20" s="9" customFormat="1" ht="51" customHeight="1" thickBot="1" x14ac:dyDescent="0.3">
      <c r="A22" s="4"/>
      <c r="B22" s="15"/>
      <c r="C22" s="67"/>
      <c r="D22" s="720" t="s">
        <v>402</v>
      </c>
      <c r="E22" s="720"/>
      <c r="F22" s="720"/>
      <c r="G22" s="29"/>
      <c r="H22" s="29"/>
      <c r="I22" s="29"/>
      <c r="J22" s="29"/>
      <c r="K22" s="29"/>
      <c r="L22" s="29"/>
      <c r="M22" s="29"/>
      <c r="N22" s="29"/>
      <c r="O22" s="29"/>
      <c r="P22" s="29"/>
      <c r="Q22" s="29"/>
      <c r="R22" s="29"/>
      <c r="S22" s="29"/>
      <c r="T22" s="29"/>
    </row>
    <row r="23" spans="1:20" s="9" customFormat="1" ht="19.899999999999999" customHeight="1" thickBot="1" x14ac:dyDescent="0.25">
      <c r="A23" s="4"/>
      <c r="B23" s="15"/>
      <c r="C23" s="67"/>
      <c r="D23" s="729" t="s">
        <v>405</v>
      </c>
      <c r="E23" s="730"/>
      <c r="F23" s="731"/>
      <c r="G23" s="29"/>
      <c r="H23" s="29"/>
      <c r="I23" s="29"/>
      <c r="J23" s="29"/>
      <c r="K23" s="29"/>
      <c r="L23" s="29"/>
      <c r="M23" s="29"/>
      <c r="N23" s="29"/>
      <c r="O23" s="29"/>
      <c r="P23" s="29"/>
      <c r="Q23" s="29"/>
      <c r="R23" s="29"/>
      <c r="S23" s="29"/>
      <c r="T23" s="29"/>
    </row>
    <row r="24" spans="1:20" s="29" customFormat="1" ht="19.899999999999999" customHeight="1" x14ac:dyDescent="0.2">
      <c r="A24" s="61"/>
      <c r="B24" s="62"/>
      <c r="C24" s="69"/>
      <c r="D24" s="420" t="s">
        <v>346</v>
      </c>
      <c r="E24" s="790"/>
      <c r="F24" s="791"/>
    </row>
    <row r="25" spans="1:20" s="29" customFormat="1" ht="19.899999999999999" customHeight="1" thickBot="1" x14ac:dyDescent="0.25">
      <c r="A25" s="61"/>
      <c r="B25" s="62"/>
      <c r="C25" s="69"/>
      <c r="D25" s="76" t="s">
        <v>347</v>
      </c>
      <c r="E25" s="727"/>
      <c r="F25" s="728"/>
    </row>
    <row r="26" spans="1:20" s="9" customFormat="1" ht="7.9" customHeight="1" thickBot="1" x14ac:dyDescent="0.25">
      <c r="A26" s="4"/>
      <c r="B26" s="15"/>
      <c r="C26" s="67"/>
      <c r="E26" s="78"/>
      <c r="G26" s="29"/>
      <c r="H26" s="29"/>
      <c r="I26" s="29"/>
      <c r="J26" s="29"/>
      <c r="K26" s="29"/>
      <c r="L26" s="29"/>
      <c r="M26" s="29"/>
      <c r="N26" s="29"/>
      <c r="O26" s="29"/>
      <c r="P26" s="29"/>
      <c r="Q26" s="29"/>
      <c r="R26" s="29"/>
      <c r="S26" s="29"/>
      <c r="T26" s="29"/>
    </row>
    <row r="27" spans="1:20" s="9" customFormat="1" ht="19.899999999999999" customHeight="1" thickBot="1" x14ac:dyDescent="0.25">
      <c r="A27" s="4"/>
      <c r="B27" s="15"/>
      <c r="C27" s="67"/>
      <c r="D27" s="729" t="s">
        <v>406</v>
      </c>
      <c r="E27" s="730"/>
      <c r="F27" s="731"/>
      <c r="G27" s="29"/>
      <c r="H27" s="29"/>
      <c r="I27" s="29"/>
      <c r="J27" s="29"/>
      <c r="K27" s="29"/>
      <c r="L27" s="29"/>
      <c r="M27" s="29"/>
      <c r="N27" s="29"/>
      <c r="O27" s="29"/>
      <c r="P27" s="29"/>
      <c r="Q27" s="29"/>
      <c r="R27" s="29"/>
      <c r="S27" s="29"/>
      <c r="T27" s="29"/>
    </row>
    <row r="28" spans="1:20" s="9" customFormat="1" ht="19.899999999999999" customHeight="1" x14ac:dyDescent="0.2">
      <c r="A28" s="4"/>
      <c r="B28" s="15"/>
      <c r="C28" s="67"/>
      <c r="D28" s="420" t="s">
        <v>348</v>
      </c>
      <c r="E28" s="768"/>
      <c r="F28" s="769"/>
    </row>
    <row r="29" spans="1:20" s="9" customFormat="1" ht="19.899999999999999" customHeight="1" x14ac:dyDescent="0.2">
      <c r="A29" s="4"/>
      <c r="B29" s="15"/>
      <c r="C29" s="67"/>
      <c r="D29" s="133" t="s">
        <v>349</v>
      </c>
      <c r="E29" s="768"/>
      <c r="F29" s="769"/>
    </row>
    <row r="30" spans="1:20" s="9" customFormat="1" ht="19.899999999999999" customHeight="1" x14ac:dyDescent="0.2">
      <c r="A30" s="4"/>
      <c r="B30" s="15"/>
      <c r="C30" s="67"/>
      <c r="D30" s="133" t="s">
        <v>350</v>
      </c>
      <c r="E30" s="768"/>
      <c r="F30" s="769"/>
      <c r="J30" s="715" t="str">
        <f>IF($G$12="Yes","TSC development - 18 m FC bus [EUR/ km]", "TCO development - 18 m FC bus [EUR/ km]")</f>
        <v>TSC development - 18 m FC bus [EUR/ km]</v>
      </c>
      <c r="K30" s="716"/>
      <c r="L30" s="716"/>
      <c r="M30" s="716"/>
      <c r="N30" s="716"/>
      <c r="O30" s="716"/>
      <c r="P30" s="716"/>
      <c r="Q30" s="716"/>
      <c r="R30" s="716"/>
    </row>
    <row r="31" spans="1:20" s="9" customFormat="1" ht="19.899999999999999" customHeight="1" thickBot="1" x14ac:dyDescent="0.25">
      <c r="A31" s="4"/>
      <c r="B31" s="15"/>
      <c r="C31" s="67"/>
      <c r="D31" s="76" t="s">
        <v>351</v>
      </c>
      <c r="E31" s="782"/>
      <c r="F31" s="783"/>
    </row>
    <row r="32" spans="1:20" s="9" customFormat="1" ht="7.9" customHeight="1" thickBot="1" x14ac:dyDescent="0.25">
      <c r="A32" s="4"/>
      <c r="B32" s="15"/>
      <c r="C32" s="67"/>
      <c r="E32" s="78"/>
      <c r="G32" s="29"/>
      <c r="H32" s="29"/>
      <c r="I32" s="29"/>
      <c r="J32" s="29"/>
      <c r="K32" s="29"/>
      <c r="L32" s="29"/>
      <c r="M32" s="29"/>
      <c r="N32" s="29"/>
      <c r="O32" s="29"/>
      <c r="P32" s="29"/>
      <c r="Q32" s="29"/>
      <c r="R32" s="29"/>
      <c r="S32" s="29"/>
      <c r="T32" s="29"/>
    </row>
    <row r="33" spans="1:21" s="9" customFormat="1" ht="19.899999999999999" customHeight="1" thickBot="1" x14ac:dyDescent="0.25">
      <c r="A33" s="4"/>
      <c r="B33" s="15"/>
      <c r="C33" s="67"/>
      <c r="D33" s="729" t="s">
        <v>407</v>
      </c>
      <c r="E33" s="730"/>
      <c r="F33" s="731"/>
      <c r="G33" s="29"/>
      <c r="H33" s="29"/>
      <c r="I33" s="29"/>
      <c r="J33" s="29"/>
      <c r="K33" s="29"/>
      <c r="L33" s="29"/>
      <c r="M33" s="29"/>
      <c r="N33" s="29"/>
      <c r="O33" s="29"/>
      <c r="P33" s="29"/>
      <c r="Q33" s="29"/>
      <c r="R33" s="29"/>
      <c r="S33" s="29"/>
      <c r="T33" s="29"/>
    </row>
    <row r="34" spans="1:21" s="9" customFormat="1" ht="19.899999999999999" customHeight="1" x14ac:dyDescent="0.2">
      <c r="A34" s="4"/>
      <c r="B34" s="15"/>
      <c r="C34" s="67"/>
      <c r="D34" s="420" t="s">
        <v>348</v>
      </c>
      <c r="E34" s="768"/>
      <c r="F34" s="769"/>
    </row>
    <row r="35" spans="1:21" s="9" customFormat="1" ht="19.899999999999999" customHeight="1" x14ac:dyDescent="0.2">
      <c r="A35" s="4"/>
      <c r="B35" s="15"/>
      <c r="C35" s="67"/>
      <c r="D35" s="133" t="s">
        <v>349</v>
      </c>
      <c r="E35" s="768"/>
      <c r="F35" s="769"/>
    </row>
    <row r="36" spans="1:21" s="9" customFormat="1" ht="19.899999999999999" customHeight="1" x14ac:dyDescent="0.2">
      <c r="A36" s="4"/>
      <c r="B36" s="15"/>
      <c r="C36" s="67"/>
      <c r="D36" s="133" t="s">
        <v>350</v>
      </c>
      <c r="E36" s="768"/>
      <c r="F36" s="769"/>
    </row>
    <row r="37" spans="1:21" s="9" customFormat="1" ht="19.899999999999999" customHeight="1" thickBot="1" x14ac:dyDescent="0.25">
      <c r="A37" s="4"/>
      <c r="B37" s="15"/>
      <c r="C37" s="67"/>
      <c r="D37" s="76" t="s">
        <v>351</v>
      </c>
      <c r="E37" s="782"/>
      <c r="F37" s="783"/>
    </row>
    <row r="38" spans="1:21" s="9" customFormat="1" ht="34.9" customHeight="1" x14ac:dyDescent="0.2">
      <c r="A38" s="4"/>
      <c r="B38" s="15"/>
      <c r="C38" s="67"/>
      <c r="G38" s="319"/>
      <c r="H38" s="319"/>
      <c r="I38" s="319"/>
      <c r="J38" s="319"/>
      <c r="K38" s="29"/>
      <c r="L38" s="29"/>
      <c r="M38" s="29"/>
      <c r="N38" s="29"/>
      <c r="O38" s="29"/>
      <c r="P38" s="29"/>
      <c r="Q38" s="29"/>
      <c r="R38" s="434"/>
      <c r="S38" s="434"/>
      <c r="T38" s="29"/>
    </row>
    <row r="39" spans="1:21" s="9" customFormat="1" ht="65.45" customHeight="1" thickBot="1" x14ac:dyDescent="0.25">
      <c r="A39" s="4"/>
      <c r="B39" s="15"/>
      <c r="C39" s="67"/>
      <c r="D39" s="720" t="s">
        <v>403</v>
      </c>
      <c r="E39" s="720"/>
      <c r="F39" s="720"/>
      <c r="G39" s="29"/>
      <c r="H39" s="29"/>
      <c r="I39" s="29"/>
      <c r="J39" s="29"/>
      <c r="K39" s="29"/>
      <c r="L39" s="29"/>
      <c r="M39" s="29"/>
      <c r="N39" s="29"/>
      <c r="O39" s="29"/>
      <c r="P39" s="29"/>
      <c r="Q39" s="29"/>
      <c r="R39" s="29"/>
      <c r="S39" s="29"/>
      <c r="T39" s="29"/>
    </row>
    <row r="40" spans="1:21" s="9" customFormat="1" ht="19.899999999999999" customHeight="1" thickBot="1" x14ac:dyDescent="0.25">
      <c r="A40" s="4"/>
      <c r="B40" s="15"/>
      <c r="C40" s="67"/>
      <c r="D40" s="729" t="s">
        <v>408</v>
      </c>
      <c r="E40" s="730"/>
      <c r="F40" s="731"/>
      <c r="G40" s="29"/>
      <c r="H40" s="29"/>
      <c r="I40" s="29"/>
      <c r="J40" s="29"/>
      <c r="K40" s="29"/>
      <c r="L40" s="29"/>
      <c r="M40" s="29"/>
      <c r="N40" s="29"/>
      <c r="O40" s="29"/>
      <c r="P40" s="29"/>
      <c r="Q40" s="29"/>
      <c r="R40" s="29"/>
      <c r="S40" s="29"/>
      <c r="T40" s="29"/>
    </row>
    <row r="41" spans="1:21" s="29" customFormat="1" ht="19.899999999999999" customHeight="1" x14ac:dyDescent="0.2">
      <c r="A41" s="61"/>
      <c r="B41" s="62"/>
      <c r="C41" s="69"/>
      <c r="D41" s="420" t="s">
        <v>239</v>
      </c>
      <c r="E41" s="754">
        <f>'Infrastructure options'!K40</f>
        <v>2496666.6666666665</v>
      </c>
      <c r="F41" s="755"/>
    </row>
    <row r="42" spans="1:21" s="29" customFormat="1" ht="19.899999999999999" customHeight="1" thickBot="1" x14ac:dyDescent="0.25">
      <c r="A42" s="61"/>
      <c r="B42" s="62"/>
      <c r="C42" s="69"/>
      <c r="D42" s="76" t="s">
        <v>238</v>
      </c>
      <c r="E42" s="727">
        <f>'Infrastructure options'!Q40</f>
        <v>151000</v>
      </c>
      <c r="F42" s="728"/>
    </row>
    <row r="43" spans="1:21" s="9" customFormat="1" ht="40.15" customHeight="1" x14ac:dyDescent="0.2">
      <c r="A43" s="4"/>
      <c r="B43" s="15"/>
      <c r="C43" s="67"/>
      <c r="G43" s="319"/>
      <c r="H43" s="29"/>
      <c r="I43" s="29"/>
      <c r="S43" s="29"/>
      <c r="T43" s="29"/>
    </row>
    <row r="44" spans="1:21" s="9" customFormat="1" ht="49.9" customHeight="1" thickBot="1" x14ac:dyDescent="0.25">
      <c r="A44" s="4"/>
      <c r="B44" s="15"/>
      <c r="C44" s="67"/>
      <c r="D44" s="719" t="s">
        <v>404</v>
      </c>
      <c r="E44" s="719"/>
      <c r="F44" s="719"/>
      <c r="G44" s="29"/>
      <c r="H44" s="29"/>
      <c r="I44" s="29"/>
      <c r="J44" s="715" t="str">
        <f>IF($G$12="Yes","TSC comparison - 12 - 13.5 m bus [EUR/ km]", "TCO comparison - 12 - 13.5 m bus [EUR/ km]")</f>
        <v>TSC comparison - 12 - 13.5 m bus [EUR/ km]</v>
      </c>
      <c r="K44" s="716"/>
      <c r="L44" s="716"/>
      <c r="M44" s="716"/>
      <c r="N44" s="716"/>
      <c r="O44" s="716"/>
      <c r="P44" s="716"/>
      <c r="Q44" s="716"/>
      <c r="R44" s="716"/>
      <c r="S44" s="29"/>
      <c r="T44" s="29"/>
      <c r="U44" s="650"/>
    </row>
    <row r="45" spans="1:21" s="9" customFormat="1" ht="19.899999999999999" hidden="1" customHeight="1" thickBot="1" x14ac:dyDescent="0.3">
      <c r="A45" s="4"/>
      <c r="B45" s="15"/>
      <c r="C45" s="67"/>
      <c r="D45" s="729" t="s">
        <v>247</v>
      </c>
      <c r="E45" s="730"/>
      <c r="F45" s="731"/>
      <c r="G45" s="29"/>
      <c r="H45" s="29"/>
      <c r="I45" s="29"/>
      <c r="J45" s="29"/>
      <c r="K45" s="29"/>
      <c r="L45" s="29"/>
      <c r="M45" s="29"/>
      <c r="N45" s="29"/>
      <c r="O45" s="29"/>
      <c r="P45" s="29"/>
      <c r="Q45" s="29"/>
      <c r="R45" s="29"/>
      <c r="S45" s="29"/>
      <c r="T45" s="29"/>
    </row>
    <row r="46" spans="1:21" s="29" customFormat="1" ht="19.899999999999999" hidden="1" customHeight="1" x14ac:dyDescent="0.25">
      <c r="A46" s="61"/>
      <c r="B46" s="62"/>
      <c r="C46" s="69"/>
      <c r="D46" s="420" t="s">
        <v>245</v>
      </c>
      <c r="E46" s="736">
        <v>12</v>
      </c>
      <c r="F46" s="737"/>
    </row>
    <row r="47" spans="1:21" s="9" customFormat="1" ht="19.899999999999999" hidden="1" customHeight="1" thickBot="1" x14ac:dyDescent="0.3">
      <c r="A47" s="4"/>
      <c r="B47" s="15"/>
      <c r="C47" s="67"/>
      <c r="D47" s="76" t="s">
        <v>246</v>
      </c>
      <c r="E47" s="738">
        <v>20</v>
      </c>
      <c r="F47" s="739"/>
      <c r="G47" s="29"/>
      <c r="H47" s="29"/>
      <c r="I47" s="29"/>
      <c r="J47" s="29"/>
      <c r="K47" s="29"/>
      <c r="L47" s="29"/>
      <c r="M47" s="29"/>
      <c r="N47" s="29"/>
      <c r="O47" s="29"/>
      <c r="P47" s="29"/>
      <c r="Q47" s="29"/>
      <c r="R47" s="29"/>
      <c r="S47" s="29"/>
      <c r="T47" s="29"/>
    </row>
    <row r="48" spans="1:21" s="9" customFormat="1" ht="7.9" hidden="1" customHeight="1" thickBot="1" x14ac:dyDescent="0.3">
      <c r="A48" s="4"/>
      <c r="B48" s="15"/>
      <c r="C48" s="67"/>
      <c r="E48" s="78"/>
      <c r="G48" s="29"/>
      <c r="H48" s="29"/>
      <c r="I48" s="29"/>
      <c r="J48" s="29"/>
      <c r="K48" s="29"/>
      <c r="L48" s="29"/>
      <c r="M48" s="29"/>
      <c r="N48" s="29"/>
      <c r="O48" s="29"/>
      <c r="P48" s="29"/>
      <c r="Q48" s="29"/>
      <c r="R48" s="29"/>
      <c r="S48" s="29"/>
      <c r="T48" s="29"/>
    </row>
    <row r="49" spans="1:20" s="9" customFormat="1" ht="19.899999999999999" customHeight="1" thickBot="1" x14ac:dyDescent="0.25">
      <c r="A49" s="4"/>
      <c r="B49" s="15"/>
      <c r="C49" s="67"/>
      <c r="D49" s="729" t="s">
        <v>409</v>
      </c>
      <c r="E49" s="730"/>
      <c r="F49" s="731"/>
      <c r="G49" s="29"/>
      <c r="H49" s="29"/>
      <c r="I49" s="29"/>
      <c r="J49" s="29"/>
      <c r="K49" s="29"/>
      <c r="L49" s="29"/>
      <c r="M49" s="29"/>
      <c r="N49" s="29"/>
      <c r="O49" s="29"/>
      <c r="P49" s="29"/>
      <c r="Q49" s="29"/>
      <c r="R49" s="29"/>
      <c r="S49" s="29"/>
      <c r="T49" s="29"/>
    </row>
    <row r="50" spans="1:20" s="9" customFormat="1" ht="19.899999999999999" hidden="1" customHeight="1" x14ac:dyDescent="0.25">
      <c r="A50" s="4"/>
      <c r="B50" s="15"/>
      <c r="C50" s="67"/>
      <c r="D50" s="133" t="s">
        <v>249</v>
      </c>
      <c r="E50" s="732">
        <v>0.5</v>
      </c>
      <c r="F50" s="733"/>
    </row>
    <row r="51" spans="1:20" s="9" customFormat="1" ht="19.899999999999999" hidden="1" customHeight="1" x14ac:dyDescent="0.25">
      <c r="A51" s="4"/>
      <c r="B51" s="15"/>
      <c r="C51" s="67"/>
      <c r="D51" s="133" t="s">
        <v>250</v>
      </c>
      <c r="E51" s="734">
        <f>1-E50</f>
        <v>0.5</v>
      </c>
      <c r="F51" s="735"/>
    </row>
    <row r="52" spans="1:20" s="9" customFormat="1" ht="19.899999999999999" hidden="1" customHeight="1" x14ac:dyDescent="0.25">
      <c r="A52" s="4"/>
      <c r="B52" s="15"/>
      <c r="C52" s="67"/>
      <c r="D52" s="133" t="s">
        <v>256</v>
      </c>
      <c r="E52" s="732">
        <v>0</v>
      </c>
      <c r="F52" s="733"/>
    </row>
    <row r="53" spans="1:20" s="9" customFormat="1" ht="19.899999999999999" customHeight="1" x14ac:dyDescent="0.2">
      <c r="A53" s="4"/>
      <c r="B53" s="15"/>
      <c r="C53" s="67"/>
      <c r="D53" s="133" t="s">
        <v>394</v>
      </c>
      <c r="E53" s="717">
        <f>'Environmental analysis'!F81</f>
        <v>8.6449999999999996</v>
      </c>
      <c r="F53" s="718"/>
    </row>
    <row r="54" spans="1:20" s="9" customFormat="1" ht="19.899999999999999" customHeight="1" x14ac:dyDescent="0.2">
      <c r="A54" s="4"/>
      <c r="B54" s="15"/>
      <c r="C54" s="67"/>
      <c r="D54" s="133" t="s">
        <v>395</v>
      </c>
      <c r="E54" s="717">
        <f>'Environmental analysis'!F85</f>
        <v>13.033999999999999</v>
      </c>
      <c r="F54" s="718"/>
    </row>
    <row r="55" spans="1:20" ht="19.899999999999999" customHeight="1" x14ac:dyDescent="0.2">
      <c r="D55" s="133" t="s">
        <v>252</v>
      </c>
      <c r="E55" s="740">
        <v>110</v>
      </c>
      <c r="F55" s="741"/>
    </row>
    <row r="56" spans="1:20" ht="19.899999999999999" customHeight="1" x14ac:dyDescent="0.2">
      <c r="D56" s="133" t="s">
        <v>362</v>
      </c>
      <c r="E56" s="742">
        <v>0.01</v>
      </c>
      <c r="F56" s="743"/>
    </row>
    <row r="57" spans="1:20" s="9" customFormat="1" ht="19.899999999999999" hidden="1" customHeight="1" x14ac:dyDescent="0.25">
      <c r="A57" s="4"/>
      <c r="B57" s="15"/>
      <c r="C57" s="67"/>
      <c r="D57" s="133" t="s">
        <v>253</v>
      </c>
      <c r="E57" s="723">
        <v>42</v>
      </c>
      <c r="F57" s="724"/>
    </row>
    <row r="58" spans="1:20" s="9" customFormat="1" ht="19.899999999999999" hidden="1" customHeight="1" x14ac:dyDescent="0.25">
      <c r="A58" s="4"/>
      <c r="B58" s="15"/>
      <c r="C58" s="67"/>
      <c r="D58" s="133" t="s">
        <v>363</v>
      </c>
      <c r="E58" s="742">
        <v>0.01</v>
      </c>
      <c r="F58" s="743"/>
    </row>
    <row r="59" spans="1:20" s="9" customFormat="1" ht="19.899999999999999" customHeight="1" x14ac:dyDescent="0.2">
      <c r="A59" s="4"/>
      <c r="B59" s="15"/>
      <c r="C59" s="67"/>
      <c r="D59" s="133" t="s">
        <v>390</v>
      </c>
      <c r="E59" s="717">
        <f>'Price evolution'!F46+'Price evolution'!F47</f>
        <v>4.8591176470588229</v>
      </c>
      <c r="F59" s="718"/>
    </row>
    <row r="60" spans="1:20" s="9" customFormat="1" ht="19.899999999999999" customHeight="1" thickBot="1" x14ac:dyDescent="0.25">
      <c r="A60" s="4"/>
      <c r="B60" s="15"/>
      <c r="C60" s="67"/>
      <c r="D60" s="76" t="s">
        <v>389</v>
      </c>
      <c r="E60" s="721">
        <f>IFERROR('Price evolution'!V48, "N/A")</f>
        <v>8.3874260964182934E-3</v>
      </c>
      <c r="F60" s="722"/>
    </row>
    <row r="61" spans="1:20" s="9" customFormat="1" ht="19.899999999999999" hidden="1" customHeight="1" x14ac:dyDescent="0.25">
      <c r="A61" s="4"/>
      <c r="B61" s="15"/>
      <c r="C61" s="67"/>
      <c r="D61" s="420" t="s">
        <v>254</v>
      </c>
      <c r="E61" s="754">
        <v>50</v>
      </c>
      <c r="F61" s="755"/>
    </row>
    <row r="62" spans="1:20" s="9" customFormat="1" ht="19.899999999999999" hidden="1" customHeight="1" x14ac:dyDescent="0.25">
      <c r="A62" s="4"/>
      <c r="B62" s="15"/>
      <c r="C62" s="67"/>
      <c r="D62" s="83" t="s">
        <v>364</v>
      </c>
      <c r="E62" s="742">
        <v>-0.03</v>
      </c>
      <c r="F62" s="743"/>
    </row>
    <row r="63" spans="1:20" s="9" customFormat="1" ht="19.899999999999999" hidden="1" customHeight="1" thickBot="1" x14ac:dyDescent="0.3">
      <c r="A63" s="4"/>
      <c r="B63" s="15"/>
      <c r="C63" s="67"/>
      <c r="D63" s="76" t="s">
        <v>251</v>
      </c>
      <c r="E63" s="756">
        <v>0</v>
      </c>
      <c r="F63" s="757"/>
    </row>
    <row r="64" spans="1:20" s="9" customFormat="1" ht="7.9" customHeight="1" thickBot="1" x14ac:dyDescent="0.25">
      <c r="A64" s="4"/>
      <c r="B64" s="15"/>
      <c r="C64" s="67"/>
      <c r="E64" s="78"/>
    </row>
    <row r="65" spans="1:6" s="9" customFormat="1" ht="19.899999999999999" customHeight="1" thickBot="1" x14ac:dyDescent="0.25">
      <c r="A65" s="4"/>
      <c r="B65" s="15"/>
      <c r="C65" s="67"/>
      <c r="D65" s="729" t="s">
        <v>410</v>
      </c>
      <c r="E65" s="730"/>
      <c r="F65" s="731"/>
    </row>
    <row r="66" spans="1:6" s="9" customFormat="1" ht="19.899999999999999" customHeight="1" x14ac:dyDescent="0.2">
      <c r="A66" s="4"/>
      <c r="B66" s="15"/>
      <c r="C66" s="67"/>
      <c r="D66" s="83" t="s">
        <v>352</v>
      </c>
      <c r="E66" s="723">
        <v>80000</v>
      </c>
      <c r="F66" s="724"/>
    </row>
    <row r="67" spans="1:6" s="9" customFormat="1" ht="19.899999999999999" customHeight="1" x14ac:dyDescent="0.2">
      <c r="A67" s="4"/>
      <c r="B67" s="15"/>
      <c r="C67" s="67"/>
      <c r="D67" s="83" t="s">
        <v>365</v>
      </c>
      <c r="E67" s="732">
        <v>0.02</v>
      </c>
      <c r="F67" s="733"/>
    </row>
    <row r="68" spans="1:6" s="9" customFormat="1" ht="19.899999999999999" customHeight="1" x14ac:dyDescent="0.2">
      <c r="A68" s="4"/>
      <c r="B68" s="15"/>
      <c r="C68" s="67"/>
      <c r="D68" s="420" t="s">
        <v>353</v>
      </c>
      <c r="E68" s="784">
        <v>3500</v>
      </c>
      <c r="F68" s="785"/>
    </row>
    <row r="69" spans="1:6" s="9" customFormat="1" ht="19.899999999999999" customHeight="1" x14ac:dyDescent="0.2">
      <c r="A69" s="4"/>
      <c r="B69" s="15"/>
      <c r="C69" s="67"/>
      <c r="D69" s="310" t="s">
        <v>354</v>
      </c>
      <c r="E69" s="784">
        <v>4000</v>
      </c>
      <c r="F69" s="785"/>
    </row>
    <row r="70" spans="1:6" s="9" customFormat="1" ht="19.899999999999999" customHeight="1" thickBot="1" x14ac:dyDescent="0.25">
      <c r="A70" s="4"/>
      <c r="B70" s="15"/>
      <c r="C70" s="67"/>
      <c r="D70" s="76" t="s">
        <v>366</v>
      </c>
      <c r="E70" s="756">
        <v>0.02</v>
      </c>
      <c r="F70" s="757"/>
    </row>
    <row r="71" spans="1:6" s="9" customFormat="1" ht="7.9" customHeight="1" thickBot="1" x14ac:dyDescent="0.25">
      <c r="A71" s="4"/>
      <c r="B71" s="15"/>
      <c r="C71" s="67"/>
      <c r="E71" s="78"/>
    </row>
    <row r="72" spans="1:6" s="9" customFormat="1" ht="19.899999999999999" customHeight="1" thickBot="1" x14ac:dyDescent="0.25">
      <c r="A72" s="4"/>
      <c r="B72" s="15"/>
      <c r="C72" s="67"/>
      <c r="D72" s="729" t="s">
        <v>271</v>
      </c>
      <c r="E72" s="730"/>
      <c r="F72" s="731"/>
    </row>
    <row r="73" spans="1:6" s="9" customFormat="1" ht="19.899999999999999" customHeight="1" thickBot="1" x14ac:dyDescent="0.25">
      <c r="A73" s="4"/>
      <c r="B73" s="15"/>
      <c r="C73" s="67"/>
      <c r="D73" s="431" t="s">
        <v>258</v>
      </c>
      <c r="E73" s="780">
        <v>7.0000000000000007E-2</v>
      </c>
      <c r="F73" s="781"/>
    </row>
    <row r="74" spans="1:6" s="9" customFormat="1" ht="7.9" customHeight="1" thickBot="1" x14ac:dyDescent="0.25">
      <c r="A74" s="4"/>
      <c r="B74" s="15"/>
      <c r="C74" s="67"/>
      <c r="E74" s="85"/>
    </row>
    <row r="75" spans="1:6" s="9" customFormat="1" ht="19.899999999999999" hidden="1" customHeight="1" thickBot="1" x14ac:dyDescent="0.3">
      <c r="A75" s="4"/>
      <c r="B75" s="15"/>
      <c r="C75" s="67"/>
      <c r="D75" s="729" t="s">
        <v>257</v>
      </c>
      <c r="E75" s="730"/>
      <c r="F75" s="731"/>
    </row>
    <row r="76" spans="1:6" s="9" customFormat="1" ht="19.899999999999999" hidden="1" customHeight="1" thickBot="1" x14ac:dyDescent="0.3">
      <c r="A76" s="4"/>
      <c r="B76" s="15"/>
      <c r="C76" s="67"/>
      <c r="D76" s="73" t="s">
        <v>262</v>
      </c>
      <c r="E76" s="780">
        <v>0.05</v>
      </c>
      <c r="F76" s="781"/>
    </row>
    <row r="77" spans="1:6" s="9" customFormat="1" ht="7.9" hidden="1" customHeight="1" thickBot="1" x14ac:dyDescent="0.3">
      <c r="A77" s="4"/>
      <c r="B77" s="15"/>
      <c r="C77" s="67"/>
      <c r="E77" s="85"/>
    </row>
    <row r="78" spans="1:6" s="9" customFormat="1" ht="19.899999999999999" hidden="1" customHeight="1" thickBot="1" x14ac:dyDescent="0.3">
      <c r="A78" s="4"/>
      <c r="B78" s="15"/>
      <c r="C78" s="67"/>
      <c r="D78" s="729" t="s">
        <v>259</v>
      </c>
      <c r="E78" s="730"/>
      <c r="F78" s="731"/>
    </row>
    <row r="79" spans="1:6" s="9" customFormat="1" ht="19.899999999999999" hidden="1" customHeight="1" x14ac:dyDescent="0.25">
      <c r="A79" s="4"/>
      <c r="B79" s="15"/>
      <c r="C79" s="67"/>
      <c r="D79" s="84" t="s">
        <v>414</v>
      </c>
      <c r="E79" s="754">
        <v>0</v>
      </c>
      <c r="F79" s="755"/>
    </row>
    <row r="80" spans="1:6" s="9" customFormat="1" ht="19.899999999999999" hidden="1" customHeight="1" x14ac:dyDescent="0.25">
      <c r="A80" s="4"/>
      <c r="B80" s="15"/>
      <c r="C80" s="67"/>
      <c r="D80" s="83" t="s">
        <v>263</v>
      </c>
      <c r="E80" s="723">
        <v>0</v>
      </c>
      <c r="F80" s="724"/>
    </row>
    <row r="81" spans="1:26" s="9" customFormat="1" ht="19.899999999999999" hidden="1" customHeight="1" thickBot="1" x14ac:dyDescent="0.3">
      <c r="A81" s="4"/>
      <c r="B81" s="15"/>
      <c r="C81" s="67"/>
      <c r="D81" s="76" t="s">
        <v>264</v>
      </c>
      <c r="E81" s="725">
        <v>0</v>
      </c>
      <c r="F81" s="726"/>
    </row>
    <row r="82" spans="1:26" s="9" customFormat="1" ht="7.9" hidden="1" customHeight="1" thickBot="1" x14ac:dyDescent="0.3">
      <c r="A82" s="4"/>
      <c r="B82" s="15"/>
      <c r="C82" s="67"/>
      <c r="E82" s="85"/>
    </row>
    <row r="83" spans="1:26" s="9" customFormat="1" ht="19.899999999999999" customHeight="1" thickBot="1" x14ac:dyDescent="0.25">
      <c r="A83" s="4"/>
      <c r="B83" s="15"/>
      <c r="C83" s="67"/>
      <c r="D83" s="729" t="s">
        <v>411</v>
      </c>
      <c r="E83" s="730"/>
      <c r="F83" s="731"/>
      <c r="J83" s="715" t="str">
        <f>IF($G$12="Yes","TSC comparison - 18 m bus [EUR/ km]", "TCO comparison - 18 m bus [EUR/ km]")</f>
        <v>TSC comparison - 18 m bus [EUR/ km]</v>
      </c>
      <c r="K83" s="716"/>
      <c r="L83" s="716"/>
      <c r="M83" s="716"/>
      <c r="N83" s="716"/>
      <c r="O83" s="716"/>
      <c r="P83" s="716"/>
      <c r="Q83" s="716"/>
      <c r="R83" s="716"/>
    </row>
    <row r="84" spans="1:26" s="9" customFormat="1" ht="19.899999999999999" customHeight="1" thickBot="1" x14ac:dyDescent="0.25">
      <c r="A84" s="4"/>
      <c r="B84" s="15"/>
      <c r="C84" s="67"/>
      <c r="D84" s="73" t="s">
        <v>261</v>
      </c>
      <c r="E84" s="727">
        <f>IF('Price evolution'!F28&lt;51,250000,500000)</f>
        <v>250000</v>
      </c>
      <c r="F84" s="728"/>
      <c r="H84" s="559"/>
    </row>
    <row r="85" spans="1:26" s="9" customFormat="1" ht="30" customHeight="1" x14ac:dyDescent="0.2">
      <c r="A85" s="4"/>
      <c r="B85" s="15"/>
      <c r="C85" s="67"/>
      <c r="D85" s="478"/>
      <c r="E85" s="479"/>
    </row>
    <row r="86" spans="1:26" s="9" customFormat="1" ht="51.6" hidden="1" customHeight="1" thickBot="1" x14ac:dyDescent="0.3">
      <c r="A86" s="4"/>
      <c r="B86" s="15"/>
      <c r="C86" s="67"/>
      <c r="D86" s="720" t="s">
        <v>336</v>
      </c>
      <c r="E86" s="720"/>
      <c r="F86" s="720"/>
    </row>
    <row r="87" spans="1:26" s="9" customFormat="1" ht="19.899999999999999" hidden="1" customHeight="1" thickBot="1" x14ac:dyDescent="0.3">
      <c r="A87" s="4"/>
      <c r="B87" s="15"/>
      <c r="C87" s="67"/>
      <c r="D87" s="729" t="s">
        <v>355</v>
      </c>
      <c r="E87" s="730"/>
      <c r="F87" s="731"/>
    </row>
    <row r="88" spans="1:26" ht="19.899999999999999" hidden="1" customHeight="1" x14ac:dyDescent="0.25">
      <c r="D88" s="75" t="s">
        <v>356</v>
      </c>
      <c r="E88" s="754">
        <v>231500</v>
      </c>
      <c r="F88" s="755"/>
    </row>
    <row r="89" spans="1:26" s="9" customFormat="1" ht="19.899999999999999" hidden="1" customHeight="1" x14ac:dyDescent="0.25">
      <c r="A89" s="4"/>
      <c r="B89" s="15"/>
      <c r="C89" s="67"/>
      <c r="D89" s="83" t="s">
        <v>367</v>
      </c>
      <c r="E89" s="762">
        <v>3.5000000000000001E-3</v>
      </c>
      <c r="F89" s="763"/>
      <c r="Z89" s="78"/>
    </row>
    <row r="90" spans="1:26" s="9" customFormat="1" ht="19.899999999999999" hidden="1" customHeight="1" x14ac:dyDescent="0.25">
      <c r="A90" s="4"/>
      <c r="B90" s="15"/>
      <c r="C90" s="67"/>
      <c r="D90" s="83" t="s">
        <v>357</v>
      </c>
      <c r="E90" s="723">
        <v>331700</v>
      </c>
      <c r="F90" s="724"/>
      <c r="Z90" s="78"/>
    </row>
    <row r="91" spans="1:26" s="9" customFormat="1" ht="19.899999999999999" hidden="1" customHeight="1" x14ac:dyDescent="0.25">
      <c r="A91" s="4"/>
      <c r="B91" s="15"/>
      <c r="C91" s="67"/>
      <c r="D91" s="83" t="s">
        <v>368</v>
      </c>
      <c r="E91" s="762">
        <v>8.9999999999999993E-3</v>
      </c>
      <c r="F91" s="763"/>
    </row>
    <row r="92" spans="1:26" s="9" customFormat="1" ht="19.899999999999999" hidden="1" customHeight="1" x14ac:dyDescent="0.25">
      <c r="A92" s="4"/>
      <c r="B92" s="15"/>
      <c r="C92" s="67"/>
      <c r="D92" s="83" t="s">
        <v>334</v>
      </c>
      <c r="E92" s="740">
        <v>40</v>
      </c>
      <c r="F92" s="741"/>
    </row>
    <row r="93" spans="1:26" s="9" customFormat="1" ht="19.899999999999999" hidden="1" customHeight="1" x14ac:dyDescent="0.25">
      <c r="A93" s="4"/>
      <c r="B93" s="15"/>
      <c r="C93" s="67"/>
      <c r="D93" s="83" t="s">
        <v>298</v>
      </c>
      <c r="E93" s="740">
        <v>50</v>
      </c>
      <c r="F93" s="741"/>
    </row>
    <row r="94" spans="1:26" s="9" customFormat="1" ht="19.899999999999999" hidden="1" customHeight="1" x14ac:dyDescent="0.25">
      <c r="A94" s="4"/>
      <c r="B94" s="15"/>
      <c r="C94" s="67"/>
      <c r="D94" s="83" t="s">
        <v>369</v>
      </c>
      <c r="E94" s="742">
        <v>7.0487607657527818E-3</v>
      </c>
      <c r="F94" s="743"/>
    </row>
    <row r="95" spans="1:26" s="9" customFormat="1" ht="19.899999999999999" hidden="1" customHeight="1" x14ac:dyDescent="0.25">
      <c r="A95" s="4"/>
      <c r="B95" s="15"/>
      <c r="C95" s="67"/>
    </row>
    <row r="96" spans="1:26" s="9" customFormat="1" ht="19.899999999999999" hidden="1" customHeight="1" x14ac:dyDescent="0.25">
      <c r="A96" s="4"/>
      <c r="B96" s="15"/>
      <c r="C96" s="67"/>
    </row>
    <row r="97" spans="1:16" s="9" customFormat="1" ht="19.899999999999999" hidden="1" customHeight="1" x14ac:dyDescent="0.25">
      <c r="A97" s="4"/>
      <c r="B97" s="15"/>
      <c r="C97" s="67"/>
      <c r="D97" s="133" t="s">
        <v>359</v>
      </c>
      <c r="E97" s="768">
        <v>0.26</v>
      </c>
      <c r="F97" s="769"/>
    </row>
    <row r="98" spans="1:16" s="9" customFormat="1" ht="19.899999999999999" hidden="1" customHeight="1" x14ac:dyDescent="0.25">
      <c r="A98" s="4"/>
      <c r="B98" s="15"/>
      <c r="C98" s="67"/>
      <c r="D98" s="133" t="s">
        <v>360</v>
      </c>
      <c r="E98" s="768">
        <v>0.39</v>
      </c>
      <c r="F98" s="769"/>
    </row>
    <row r="99" spans="1:16" ht="19.899999999999999" hidden="1" customHeight="1" x14ac:dyDescent="0.25">
      <c r="D99" s="133" t="s">
        <v>370</v>
      </c>
      <c r="E99" s="742">
        <v>0.01</v>
      </c>
      <c r="F99" s="743"/>
    </row>
    <row r="100" spans="1:16" s="9" customFormat="1" ht="19.899999999999999" hidden="1" customHeight="1" x14ac:dyDescent="0.25">
      <c r="A100" s="4"/>
      <c r="B100" s="15"/>
      <c r="C100" s="67"/>
      <c r="D100" s="133" t="s">
        <v>267</v>
      </c>
      <c r="E100" s="740">
        <v>5</v>
      </c>
      <c r="F100" s="741"/>
    </row>
    <row r="101" spans="1:16" s="9" customFormat="1" ht="19.899999999999999" hidden="1" customHeight="1" x14ac:dyDescent="0.25">
      <c r="A101" s="4"/>
      <c r="B101" s="15"/>
      <c r="C101" s="67"/>
      <c r="D101" s="133" t="s">
        <v>318</v>
      </c>
      <c r="E101" s="758">
        <v>0.98</v>
      </c>
      <c r="F101" s="759"/>
    </row>
    <row r="102" spans="1:16" s="9" customFormat="1" ht="19.899999999999999" hidden="1" customHeight="1" thickBot="1" x14ac:dyDescent="0.3">
      <c r="A102" s="4"/>
      <c r="B102" s="15"/>
      <c r="C102" s="67"/>
      <c r="D102" s="76" t="s">
        <v>265</v>
      </c>
      <c r="E102" s="744">
        <v>68000</v>
      </c>
      <c r="F102" s="745"/>
    </row>
    <row r="103" spans="1:16" ht="7.9" hidden="1" customHeight="1" thickBot="1" x14ac:dyDescent="0.3"/>
    <row r="104" spans="1:16" s="9" customFormat="1" ht="19.899999999999999" hidden="1" customHeight="1" thickBot="1" x14ac:dyDescent="0.3">
      <c r="A104" s="4"/>
      <c r="B104" s="15"/>
      <c r="C104" s="67"/>
      <c r="D104" s="729" t="s">
        <v>314</v>
      </c>
      <c r="E104" s="730"/>
      <c r="F104" s="731"/>
    </row>
    <row r="105" spans="1:16" ht="19.899999999999999" hidden="1" customHeight="1" x14ac:dyDescent="0.25">
      <c r="D105" s="75" t="s">
        <v>266</v>
      </c>
      <c r="E105" s="746">
        <v>345000</v>
      </c>
      <c r="F105" s="747"/>
    </row>
    <row r="106" spans="1:16" ht="19.899999999999999" hidden="1" customHeight="1" x14ac:dyDescent="0.25">
      <c r="D106" s="133" t="s">
        <v>319</v>
      </c>
      <c r="E106" s="748">
        <v>128000</v>
      </c>
      <c r="F106" s="749"/>
    </row>
    <row r="107" spans="1:16" ht="19.899999999999999" hidden="1" customHeight="1" x14ac:dyDescent="0.25">
      <c r="D107" s="133" t="s">
        <v>371</v>
      </c>
      <c r="E107" s="750">
        <v>1.2E-2</v>
      </c>
      <c r="F107" s="751"/>
    </row>
    <row r="108" spans="1:16" s="9" customFormat="1" ht="19.899999999999999" hidden="1" customHeight="1" thickBot="1" x14ac:dyDescent="0.3">
      <c r="A108" s="4"/>
      <c r="B108" s="15"/>
      <c r="C108" s="67"/>
      <c r="D108" s="76" t="s">
        <v>361</v>
      </c>
      <c r="E108" s="772">
        <v>100</v>
      </c>
      <c r="F108" s="773"/>
    </row>
    <row r="109" spans="1:16" s="9" customFormat="1" ht="30" hidden="1" customHeight="1" x14ac:dyDescent="0.25">
      <c r="A109" s="4"/>
      <c r="B109" s="15"/>
      <c r="C109" s="67"/>
      <c r="D109" s="478"/>
      <c r="E109" s="479"/>
    </row>
    <row r="110" spans="1:16" ht="40.15" customHeight="1" thickBot="1" x14ac:dyDescent="0.25">
      <c r="D110" s="476" t="s">
        <v>412</v>
      </c>
      <c r="O110" s="78"/>
      <c r="P110" s="9"/>
    </row>
    <row r="111" spans="1:16" ht="19.899999999999999" customHeight="1" thickBot="1" x14ac:dyDescent="0.25">
      <c r="D111" s="729" t="s">
        <v>413</v>
      </c>
      <c r="E111" s="730"/>
      <c r="F111" s="731"/>
    </row>
    <row r="112" spans="1:16" ht="19.899999999999999" customHeight="1" x14ac:dyDescent="0.2">
      <c r="D112" s="310" t="s">
        <v>391</v>
      </c>
      <c r="E112" s="752">
        <v>1</v>
      </c>
      <c r="F112" s="753"/>
      <c r="G112" s="234">
        <v>0</v>
      </c>
      <c r="H112" s="234">
        <v>0.2</v>
      </c>
      <c r="I112" s="553">
        <v>0.4</v>
      </c>
      <c r="J112" s="234">
        <v>0.6</v>
      </c>
      <c r="K112" s="234">
        <v>0.8</v>
      </c>
      <c r="L112" s="234">
        <v>1</v>
      </c>
      <c r="M112" s="234">
        <v>1</v>
      </c>
      <c r="N112" s="369"/>
    </row>
    <row r="113" spans="1:14" s="9" customFormat="1" ht="19.899999999999999" customHeight="1" x14ac:dyDescent="0.2">
      <c r="A113" s="4"/>
      <c r="B113" s="15"/>
      <c r="C113" s="67"/>
      <c r="D113" s="83" t="s">
        <v>345</v>
      </c>
      <c r="E113" s="732" t="s">
        <v>302</v>
      </c>
      <c r="F113" s="733"/>
      <c r="G113" s="234" t="s">
        <v>302</v>
      </c>
      <c r="H113" s="234" t="s">
        <v>303</v>
      </c>
      <c r="I113" s="234" t="s">
        <v>304</v>
      </c>
      <c r="J113" s="468" t="s">
        <v>306</v>
      </c>
      <c r="K113" s="468" t="s">
        <v>307</v>
      </c>
      <c r="L113" s="468" t="s">
        <v>305</v>
      </c>
      <c r="M113" s="468" t="s">
        <v>308</v>
      </c>
      <c r="N113" s="468" t="s">
        <v>276</v>
      </c>
    </row>
    <row r="114" spans="1:14" ht="19.899999999999999" customHeight="1" x14ac:dyDescent="0.2">
      <c r="D114" s="83" t="s">
        <v>311</v>
      </c>
      <c r="E114" s="754">
        <f>IFERROR(INDEX(G113:N114,2,MATCH(E113,G113:N113,0)),"Please input value")</f>
        <v>500</v>
      </c>
      <c r="F114" s="755"/>
      <c r="G114" s="469">
        <v>500</v>
      </c>
      <c r="H114" s="469">
        <v>450</v>
      </c>
      <c r="I114" s="469">
        <v>70</v>
      </c>
      <c r="J114" s="469">
        <v>400</v>
      </c>
      <c r="K114" s="469">
        <v>400</v>
      </c>
      <c r="L114" s="469">
        <v>15</v>
      </c>
      <c r="M114" s="469">
        <v>120</v>
      </c>
      <c r="N114" s="470" t="s">
        <v>309</v>
      </c>
    </row>
    <row r="115" spans="1:14" ht="19.899999999999999" customHeight="1" thickBot="1" x14ac:dyDescent="0.25">
      <c r="D115" s="76" t="s">
        <v>372</v>
      </c>
      <c r="E115" s="756">
        <f>INDEX(G113:N115,3,MATCH(E113,G113:N113,0))</f>
        <v>0.03</v>
      </c>
      <c r="F115" s="757"/>
      <c r="G115" s="234">
        <v>0.03</v>
      </c>
      <c r="H115" s="234">
        <v>0.03</v>
      </c>
      <c r="I115" s="234">
        <v>0.03</v>
      </c>
      <c r="J115" s="234">
        <v>0.03</v>
      </c>
      <c r="K115" s="234">
        <v>0.03</v>
      </c>
      <c r="L115" s="234">
        <v>0.03</v>
      </c>
      <c r="M115" s="234">
        <v>0.03</v>
      </c>
      <c r="N115" s="470" t="s">
        <v>309</v>
      </c>
    </row>
    <row r="116" spans="1:14" s="9" customFormat="1" ht="30" customHeight="1" x14ac:dyDescent="0.2">
      <c r="A116" s="4"/>
      <c r="B116" s="15"/>
      <c r="C116" s="67"/>
      <c r="D116" s="478"/>
      <c r="E116" s="479"/>
      <c r="G116" s="234"/>
      <c r="H116" s="234"/>
      <c r="I116" s="234"/>
      <c r="J116" s="234"/>
      <c r="K116" s="234"/>
      <c r="L116" s="234"/>
      <c r="M116" s="234"/>
      <c r="N116" s="470"/>
    </row>
    <row r="117" spans="1:14" s="9" customFormat="1" ht="40.15" customHeight="1" thickBot="1" x14ac:dyDescent="0.25">
      <c r="A117" s="4"/>
      <c r="B117" s="15"/>
      <c r="C117" s="67"/>
      <c r="D117" s="476" t="s">
        <v>431</v>
      </c>
      <c r="G117" s="234"/>
      <c r="H117" s="234"/>
      <c r="I117" s="234"/>
      <c r="J117" s="234"/>
      <c r="K117" s="234"/>
      <c r="L117" s="234"/>
      <c r="M117" s="234"/>
      <c r="N117" s="470"/>
    </row>
    <row r="118" spans="1:14" s="9" customFormat="1" ht="19.899999999999999" customHeight="1" thickBot="1" x14ac:dyDescent="0.25">
      <c r="A118" s="4"/>
      <c r="B118" s="15"/>
      <c r="C118" s="67"/>
      <c r="D118" s="729" t="s">
        <v>413</v>
      </c>
      <c r="E118" s="730"/>
      <c r="F118" s="731"/>
      <c r="G118" s="234"/>
      <c r="H118" s="234"/>
      <c r="I118" s="234"/>
      <c r="J118" s="234"/>
      <c r="K118" s="234"/>
      <c r="L118" s="234"/>
      <c r="M118" s="234"/>
      <c r="N118" s="470"/>
    </row>
    <row r="119" spans="1:14" s="9" customFormat="1" ht="19.899999999999999" customHeight="1" x14ac:dyDescent="0.2">
      <c r="A119" s="4"/>
      <c r="B119" s="15"/>
      <c r="C119" s="67"/>
      <c r="D119" s="75" t="s">
        <v>358</v>
      </c>
      <c r="E119" s="770">
        <v>1</v>
      </c>
      <c r="F119" s="771"/>
      <c r="G119" s="234"/>
      <c r="H119" s="234"/>
      <c r="I119" s="234"/>
      <c r="J119" s="234"/>
      <c r="K119" s="234"/>
      <c r="L119" s="234"/>
      <c r="M119" s="234"/>
      <c r="N119" s="470"/>
    </row>
    <row r="120" spans="1:14" s="9" customFormat="1" ht="19.899999999999999" customHeight="1" thickBot="1" x14ac:dyDescent="0.25">
      <c r="A120" s="4"/>
      <c r="B120" s="15"/>
      <c r="C120" s="67"/>
      <c r="D120" s="76" t="s">
        <v>383</v>
      </c>
      <c r="E120" s="721">
        <v>0.03</v>
      </c>
      <c r="F120" s="722"/>
      <c r="G120" s="234"/>
      <c r="H120" s="234"/>
      <c r="I120" s="234"/>
      <c r="J120" s="234"/>
      <c r="K120" s="234"/>
      <c r="L120" s="234"/>
      <c r="M120" s="234"/>
      <c r="N120" s="470"/>
    </row>
    <row r="121" spans="1:14" ht="40.15" customHeight="1" x14ac:dyDescent="0.2">
      <c r="D121" s="549"/>
      <c r="E121" s="9"/>
      <c r="F121" s="9"/>
      <c r="J121" s="369"/>
      <c r="K121" s="369"/>
      <c r="L121" s="369"/>
      <c r="M121" s="369"/>
      <c r="N121" s="369"/>
    </row>
    <row r="122" spans="1:14" s="9" customFormat="1" ht="49.15" hidden="1" customHeight="1" thickBot="1" x14ac:dyDescent="0.3">
      <c r="A122" s="4"/>
      <c r="B122" s="15"/>
      <c r="C122" s="67"/>
      <c r="D122" s="720" t="s">
        <v>337</v>
      </c>
      <c r="E122" s="720"/>
      <c r="F122" s="720"/>
      <c r="J122" s="369"/>
      <c r="K122" s="369"/>
      <c r="L122" s="369"/>
      <c r="M122" s="369"/>
      <c r="N122" s="369"/>
    </row>
    <row r="123" spans="1:14" s="9" customFormat="1" ht="19.899999999999999" hidden="1" customHeight="1" thickBot="1" x14ac:dyDescent="0.3">
      <c r="A123" s="4"/>
      <c r="B123" s="15"/>
      <c r="C123" s="67"/>
      <c r="D123" s="729" t="s">
        <v>260</v>
      </c>
      <c r="E123" s="730"/>
      <c r="F123" s="731"/>
    </row>
    <row r="124" spans="1:14" s="9" customFormat="1" ht="19.899999999999999" hidden="1" customHeight="1" x14ac:dyDescent="0.25">
      <c r="A124" s="4"/>
      <c r="B124" s="15"/>
      <c r="C124" s="67"/>
      <c r="D124" s="84" t="s">
        <v>255</v>
      </c>
      <c r="E124" s="760">
        <v>18</v>
      </c>
      <c r="F124" s="761"/>
    </row>
    <row r="125" spans="1:14" s="9" customFormat="1" ht="19.899999999999999" hidden="1" customHeight="1" x14ac:dyDescent="0.25">
      <c r="A125" s="4"/>
      <c r="B125" s="15"/>
      <c r="C125" s="67"/>
      <c r="D125" s="83" t="s">
        <v>373</v>
      </c>
      <c r="E125" s="766">
        <v>0</v>
      </c>
      <c r="F125" s="767"/>
    </row>
    <row r="126" spans="1:14" ht="19.899999999999999" hidden="1" customHeight="1" x14ac:dyDescent="0.25">
      <c r="D126" s="83" t="s">
        <v>374</v>
      </c>
      <c r="E126" s="732">
        <v>0</v>
      </c>
      <c r="F126" s="733"/>
    </row>
    <row r="127" spans="1:14" ht="19.899999999999999" hidden="1" customHeight="1" x14ac:dyDescent="0.25">
      <c r="D127" s="83" t="s">
        <v>384</v>
      </c>
      <c r="E127" s="723">
        <v>0</v>
      </c>
      <c r="F127" s="724"/>
    </row>
    <row r="128" spans="1:14" s="9" customFormat="1" ht="19.899999999999999" hidden="1" customHeight="1" x14ac:dyDescent="0.25">
      <c r="A128" s="4"/>
      <c r="B128" s="15"/>
      <c r="C128" s="67"/>
      <c r="D128" s="83" t="s">
        <v>385</v>
      </c>
      <c r="E128" s="723">
        <v>0</v>
      </c>
      <c r="F128" s="724"/>
    </row>
    <row r="129" spans="1:14" s="9" customFormat="1" ht="19.899999999999999" hidden="1" customHeight="1" x14ac:dyDescent="0.25">
      <c r="A129" s="4"/>
      <c r="B129" s="15"/>
      <c r="C129" s="67"/>
      <c r="D129" s="83" t="s">
        <v>333</v>
      </c>
      <c r="E129" s="768">
        <v>0</v>
      </c>
      <c r="F129" s="769"/>
    </row>
    <row r="130" spans="1:14" s="9" customFormat="1" ht="19.899999999999999" hidden="1" customHeight="1" x14ac:dyDescent="0.25">
      <c r="A130" s="4"/>
      <c r="B130" s="15"/>
      <c r="C130" s="67"/>
      <c r="D130" s="133" t="s">
        <v>375</v>
      </c>
      <c r="E130" s="742">
        <v>0</v>
      </c>
      <c r="F130" s="743"/>
    </row>
    <row r="131" spans="1:14" s="9" customFormat="1" ht="19.899999999999999" hidden="1" customHeight="1" x14ac:dyDescent="0.25">
      <c r="A131" s="4"/>
      <c r="B131" s="15"/>
      <c r="C131" s="67"/>
      <c r="D131" s="133" t="s">
        <v>376</v>
      </c>
      <c r="E131" s="764">
        <v>0</v>
      </c>
      <c r="F131" s="765"/>
    </row>
    <row r="132" spans="1:14" s="9" customFormat="1" ht="19.899999999999999" hidden="1" customHeight="1" x14ac:dyDescent="0.25">
      <c r="A132" s="4"/>
      <c r="B132" s="15"/>
      <c r="C132" s="67"/>
      <c r="D132" s="133" t="s">
        <v>377</v>
      </c>
      <c r="E132" s="732">
        <v>0</v>
      </c>
      <c r="F132" s="733"/>
    </row>
    <row r="133" spans="1:14" ht="19.899999999999999" hidden="1" customHeight="1" x14ac:dyDescent="0.25">
      <c r="D133" s="133" t="s">
        <v>378</v>
      </c>
      <c r="E133" s="723">
        <v>0</v>
      </c>
      <c r="F133" s="724"/>
    </row>
    <row r="134" spans="1:14" ht="19.899999999999999" hidden="1" customHeight="1" x14ac:dyDescent="0.25">
      <c r="D134" s="133" t="s">
        <v>379</v>
      </c>
      <c r="E134" s="732">
        <v>0</v>
      </c>
      <c r="F134" s="733"/>
    </row>
    <row r="135" spans="1:14" ht="19.899999999999999" hidden="1" customHeight="1" x14ac:dyDescent="0.25">
      <c r="D135" s="83" t="s">
        <v>380</v>
      </c>
      <c r="E135" s="723">
        <v>0</v>
      </c>
      <c r="F135" s="724"/>
    </row>
    <row r="136" spans="1:14" s="9" customFormat="1" ht="19.899999999999999" hidden="1" customHeight="1" thickBot="1" x14ac:dyDescent="0.3">
      <c r="A136" s="4"/>
      <c r="B136" s="15"/>
      <c r="C136" s="67"/>
      <c r="D136" s="76" t="s">
        <v>381</v>
      </c>
      <c r="E136" s="756">
        <v>0</v>
      </c>
      <c r="F136" s="757"/>
    </row>
    <row r="137" spans="1:14" x14ac:dyDescent="0.2">
      <c r="J137" s="370"/>
      <c r="K137" s="370"/>
      <c r="L137" s="370"/>
      <c r="M137" s="370"/>
      <c r="N137" s="369"/>
    </row>
    <row r="138" spans="1:14" ht="13.15" hidden="1" x14ac:dyDescent="0.25">
      <c r="J138" s="369"/>
      <c r="K138" s="369"/>
      <c r="L138" s="369"/>
      <c r="M138" s="369"/>
      <c r="N138" s="369"/>
    </row>
    <row r="139" spans="1:14" ht="13.15" hidden="1" x14ac:dyDescent="0.25"/>
    <row r="140" spans="1:14" ht="13.15" hidden="1" x14ac:dyDescent="0.25"/>
    <row r="141" spans="1:14" ht="13.15" hidden="1" x14ac:dyDescent="0.25"/>
    <row r="142" spans="1:14" ht="13.15" hidden="1" x14ac:dyDescent="0.25"/>
    <row r="143" spans="1:14" ht="13.15" hidden="1" x14ac:dyDescent="0.25"/>
  </sheetData>
  <sheetProtection password="C6B3" sheet="1" objects="1" scenarios="1" selectLockedCells="1"/>
  <mergeCells count="112">
    <mergeCell ref="E69:F69"/>
    <mergeCell ref="E16:F16"/>
    <mergeCell ref="E20:F20"/>
    <mergeCell ref="E18:F18"/>
    <mergeCell ref="E70:F70"/>
    <mergeCell ref="E73:F73"/>
    <mergeCell ref="D72:F72"/>
    <mergeCell ref="D23:F23"/>
    <mergeCell ref="E24:F24"/>
    <mergeCell ref="D22:F22"/>
    <mergeCell ref="E25:F25"/>
    <mergeCell ref="D27:F27"/>
    <mergeCell ref="E76:F76"/>
    <mergeCell ref="E79:F79"/>
    <mergeCell ref="E28:F28"/>
    <mergeCell ref="D40:F40"/>
    <mergeCell ref="E41:F41"/>
    <mergeCell ref="E42:F42"/>
    <mergeCell ref="E35:F35"/>
    <mergeCell ref="D33:F33"/>
    <mergeCell ref="E36:F36"/>
    <mergeCell ref="E37:F37"/>
    <mergeCell ref="D39:F39"/>
    <mergeCell ref="E34:F34"/>
    <mergeCell ref="E58:F58"/>
    <mergeCell ref="E61:F61"/>
    <mergeCell ref="E62:F62"/>
    <mergeCell ref="E63:F63"/>
    <mergeCell ref="E66:F66"/>
    <mergeCell ref="D65:F65"/>
    <mergeCell ref="E57:F57"/>
    <mergeCell ref="E29:F29"/>
    <mergeCell ref="E30:F30"/>
    <mergeCell ref="E31:F31"/>
    <mergeCell ref="E67:F67"/>
    <mergeCell ref="E68:F68"/>
    <mergeCell ref="H10:I10"/>
    <mergeCell ref="K10:L10"/>
    <mergeCell ref="Q10:R10"/>
    <mergeCell ref="E12:F12"/>
    <mergeCell ref="H12:I12"/>
    <mergeCell ref="K12:L12"/>
    <mergeCell ref="N10:O10"/>
    <mergeCell ref="E10:F10"/>
    <mergeCell ref="J14:R14"/>
    <mergeCell ref="E14:F14"/>
    <mergeCell ref="E136:F136"/>
    <mergeCell ref="E88:F88"/>
    <mergeCell ref="E89:F89"/>
    <mergeCell ref="E90:F90"/>
    <mergeCell ref="E130:F130"/>
    <mergeCell ref="E131:F131"/>
    <mergeCell ref="E132:F132"/>
    <mergeCell ref="E133:F133"/>
    <mergeCell ref="E134:F134"/>
    <mergeCell ref="E125:F125"/>
    <mergeCell ref="E126:F126"/>
    <mergeCell ref="E127:F127"/>
    <mergeCell ref="E128:F128"/>
    <mergeCell ref="E129:F129"/>
    <mergeCell ref="E91:F91"/>
    <mergeCell ref="D123:F123"/>
    <mergeCell ref="D104:F104"/>
    <mergeCell ref="E100:F100"/>
    <mergeCell ref="E119:F119"/>
    <mergeCell ref="E120:F120"/>
    <mergeCell ref="E97:F97"/>
    <mergeCell ref="E98:F98"/>
    <mergeCell ref="E108:F108"/>
    <mergeCell ref="E99:F99"/>
    <mergeCell ref="E135:F135"/>
    <mergeCell ref="D83:F83"/>
    <mergeCell ref="D87:F87"/>
    <mergeCell ref="E102:F102"/>
    <mergeCell ref="E105:F105"/>
    <mergeCell ref="E106:F106"/>
    <mergeCell ref="E107:F107"/>
    <mergeCell ref="E112:F112"/>
    <mergeCell ref="E114:F114"/>
    <mergeCell ref="E115:F115"/>
    <mergeCell ref="E92:F92"/>
    <mergeCell ref="E93:F93"/>
    <mergeCell ref="E94:F94"/>
    <mergeCell ref="E113:F113"/>
    <mergeCell ref="E101:F101"/>
    <mergeCell ref="E124:F124"/>
    <mergeCell ref="D111:F111"/>
    <mergeCell ref="D118:F118"/>
    <mergeCell ref="J30:R30"/>
    <mergeCell ref="J44:R44"/>
    <mergeCell ref="J83:R83"/>
    <mergeCell ref="E53:F53"/>
    <mergeCell ref="E54:F54"/>
    <mergeCell ref="D44:F44"/>
    <mergeCell ref="D86:F86"/>
    <mergeCell ref="D122:F122"/>
    <mergeCell ref="E59:F59"/>
    <mergeCell ref="E60:F60"/>
    <mergeCell ref="E80:F80"/>
    <mergeCell ref="E81:F81"/>
    <mergeCell ref="E84:F84"/>
    <mergeCell ref="D78:F78"/>
    <mergeCell ref="D75:F75"/>
    <mergeCell ref="E50:F50"/>
    <mergeCell ref="E51:F51"/>
    <mergeCell ref="D45:F45"/>
    <mergeCell ref="E46:F46"/>
    <mergeCell ref="E47:F47"/>
    <mergeCell ref="D49:F49"/>
    <mergeCell ref="E52:F52"/>
    <mergeCell ref="E55:F55"/>
    <mergeCell ref="E56:F56"/>
  </mergeCells>
  <dataValidations xWindow="373" yWindow="436" count="63">
    <dataValidation type="list" allowBlank="1" showInputMessage="1" showErrorMessage="1" prompt="Please select share of RES electricity used for hydrogen production" sqref="E112:F112">
      <formula1>G$112:$L$112</formula1>
    </dataValidation>
    <dataValidation type="list" allowBlank="1" showInputMessage="1" showErrorMessage="1" prompt="Please select your country of operation" sqref="E113:F113">
      <formula1>$G$113:$N$113</formula1>
    </dataValidation>
    <dataValidation allowBlank="1" prompt="Please select the answer using the dropdown list" sqref="M10:N10 K12 S10 H12 E10 G10:H10 J10:K10 E12 P10:Q10"/>
    <dataValidation type="list" allowBlank="1" showInputMessage="1" prompt="Please select the answer using the dropdown list" sqref="E14:F14">
      <formula1>$G$14:$H$14</formula1>
    </dataValidation>
    <dataValidation type="list" allowBlank="1" showInputMessage="1" showErrorMessage="1" prompt="Please select the scenario" sqref="E18">
      <formula1>$F$18:$I$18</formula1>
    </dataValidation>
    <dataValidation type="whole" operator="greaterThanOrEqual" allowBlank="1" showInputMessage="1" showErrorMessage="1" error="Please input whole number equal or above to 0 (zero)" prompt="Please insert number of 12 - 13.5 m FC buses to be deployed in each year " sqref="E6">
      <formula1>0</formula1>
    </dataValidation>
    <dataValidation type="whole" operator="greaterThanOrEqual" allowBlank="1" showInputMessage="1" showErrorMessage="1" error="Please input whole number equal or above to 0 (zero)" prompt="Please insert number of 18 m FC buses to be deployed in each year " sqref="E7">
      <formula1>0</formula1>
    </dataValidation>
    <dataValidation type="list" allowBlank="1" showInputMessage="1" prompt="Please select the answer using the dropdown list_x000a__x000a_If &quot;Yes&quot; is selected Downtime costs will be included in the results" sqref="G12">
      <formula1>$G$14:$H$14</formula1>
    </dataValidation>
    <dataValidation allowBlank="1" prompt="Please select the answer using the dropdown list_x000a__x000a_If &quot;Yes&quot; is selected Insurance costs will be included in the results" sqref="J12"/>
    <dataValidation allowBlank="1" prompt="Please select the answer using the dropdown list_x000a__x000a_If &quot;Yes&quot; is selected Other costs will be included in the results" sqref="M12"/>
    <dataValidation type="list" allowBlank="1" showInputMessage="1" showErrorMessage="1" prompt="Please select the answer using the dropdown list_x000a_Please bear in mind that selection of another year than 2015 would lead to a TCO calculation until that year that does not consider infrastructure costs" sqref="E16:F16">
      <formula1>$E$5:$T$5</formula1>
    </dataValidation>
    <dataValidation type="list" allowBlank="1" showInputMessage="1" showErrorMessage="1" prompt="Please select sensitivity scenario_x000a_Base case figures to be filled in by the user at a later stage_x000a_Upside - 10% base case_x000a_Downside + 10% base case_x000a_Best case - 15% to -30% base case" sqref="E20:F20">
      <formula1>$G$20:$J$20</formula1>
    </dataValidation>
    <dataValidation allowBlank="1" showInputMessage="1" showErrorMessage="1" prompt="Please insert percentage of operating time in SORT 1 cycle according to the pattern in which the FC bus fleet will operate" sqref="E50:F50"/>
    <dataValidation allowBlank="1" showInputMessage="1" showErrorMessage="1" prompt="Please insert expected additional fuel needed due to specific city characteristics - figure to be determined based on past experience with Diesel bus operation in comparison with figures provided by the bus OEMs" sqref="E52:F52"/>
    <dataValidation allowBlank="1" showInputMessage="1" showErrorMessage="1" prompt="Please insert price paid for electricity in 2015 - only applicable if production onsite is selected in the Overarching assumptions and options   " sqref="E55:F55"/>
    <dataValidation allowBlank="1" showInputMessage="1" showErrorMessage="1" prompt="Please insert expected evolution of the price paid for electricity until 2030 - only applicable if production onsite is selected in the Overarching assumptions and options   " sqref="E56:F56"/>
    <dataValidation allowBlank="1" showInputMessage="1" showErrorMessage="1" prompt="Please insert price paid for natural gas in 2015 - only applicable if production offsite is selected in the Overarching assumptions and options   " sqref="E57:F57"/>
    <dataValidation allowBlank="1" showInputMessage="1" showErrorMessage="1" prompt="Please insert expected evolution of the price paid for natural gas until 2030 - only applicable if production offsite is selected in the Overarching assumptions and options   " sqref="E58:F58"/>
    <dataValidation type="decimal" operator="greaterThanOrEqual" allowBlank="1" showInputMessage="1" showErrorMessage="1" error="Please input whole number equal or above to 0 (zero)" prompt="If price paid for hydrogen fuel is known please overwrite the value (all associated costs included e.g. distribution) - Please bear in mind that feedstock prices will not be used if a value is overwritten_x000a_" sqref="E59:F59">
      <formula1>0</formula1>
    </dataValidation>
    <dataValidation allowBlank="1" showInputMessage="1" showErrorMessage="1" prompt="If evolution of hydrogen price is available please overwrite the current value _x000a__x000a_Otherwise please do not modify the value - industry figures will be considered" sqref="E60:F60"/>
    <dataValidation allowBlank="1" showInputMessage="1" showErrorMessage="1" prompt="Please insert premium price paid for electricity from RES - Value is considered only if onsite hydrogen production is considered" sqref="E61:F61"/>
    <dataValidation allowBlank="1" showInputMessage="1" showErrorMessage="1" prompt="Please insert expected evolution of the premium price paid for electricity from RES - Value is considered only if onsite hydrogen production is considered" sqref="E62:F62"/>
    <dataValidation allowBlank="1" showInputMessage="1" showErrorMessage="1" prompt="Please insert share of hydrogen from RES - Value is considered only if onsite hydrogen production is considered" sqref="E63:F63"/>
    <dataValidation allowBlank="1" showInputMessage="1" showErrorMessage="1" prompt="Please insert yearly labour costs for bus drivers - these costs will include driver costs for replacement buses during downtime periods" sqref="E66:F66"/>
    <dataValidation allowBlank="1" showInputMessage="1" showErrorMessage="1" prompt="Please insert expected evolution of yearly labour costs for bus drivers" sqref="E67:F67"/>
    <dataValidation allowBlank="1" showInputMessage="1" showErrorMessage="1" prompt="Please insert yearly cleaning and servicing costs for 12 - 13.5 m bus" sqref="E68:F68"/>
    <dataValidation allowBlank="1" showInputMessage="1" showErrorMessage="1" prompt="Please insert yearly cleaning and servicing costs for 18 m bus" sqref="E69:F69"/>
    <dataValidation allowBlank="1" showInputMessage="1" showErrorMessage="1" prompt="Please insert expected evolution of cleaning and servicing costs " sqref="E70:F70"/>
    <dataValidation allowBlank="1" showInputMessage="1" showErrorMessage="1" prompt="Please insert WACC to be used for calculation of financing costs " sqref="E73:F73"/>
    <dataValidation allowBlank="1" showInputMessage="1" showErrorMessage="1" prompt="Please insert insurance premium to be used for calculation of insurance costs " sqref="E76:F76"/>
    <dataValidation allowBlank="1" showInputMessage="1" showErrorMessage="1" prompt="Please insert annual costs of operating licences" sqref="E79:F79"/>
    <dataValidation allowBlank="1" showInputMessage="1" showErrorMessage="1" prompt="Please insert city tax paid" sqref="E80:F80"/>
    <dataValidation allowBlank="1" showInputMessage="1" showErrorMessage="1" prompt="Please insert annual SG&amp;A costs" sqref="E81:F81"/>
    <dataValidation allowBlank="1" showInputMessage="1" showErrorMessage="1" prompt="If specific workshop adaptation costs are known please overwrite the default assumption" sqref="E84:F84"/>
    <dataValidation allowBlank="1" showInputMessage="1" showErrorMessage="1" prompt="Please insert the purchasing price of the conventional 12 -13.5 m Diesel bus in 2015" sqref="E88:F88"/>
    <dataValidation allowBlank="1" showInputMessage="1" showErrorMessage="1" prompt="Please insert the expected evolution of the purchasing price for the conventional 12 -13.5 m Diesel bus until 2030" sqref="E89:F89"/>
    <dataValidation allowBlank="1" showInputMessage="1" showErrorMessage="1" prompt="Please insert the expected evolution of the purchasing price for the conventional 18 m Diesel bus until 2030" sqref="E91:F91"/>
    <dataValidation allowBlank="1" showInputMessage="1" showErrorMessage="1" prompt="Please insert the purchasing price of the conventional 18 m Diesel bus in 2015" sqref="E90:F90"/>
    <dataValidation allowBlank="1" showInputMessage="1" showErrorMessage="1" prompt="Please insert current fuel consumption of conventional 12 -13.5 m diesel buses" sqref="E92:F92"/>
    <dataValidation allowBlank="1" showInputMessage="1" showErrorMessage="1" prompt="Please insert current fuel consumption of conventional 18 m diesel buses" sqref="E93:F93"/>
    <dataValidation allowBlank="1" showInputMessage="1" showErrorMessage="1" prompt="Please insert expected fuel efficiency increase of conventional diesel buses" sqref="E94:F94"/>
    <dataValidation allowBlank="1" showInputMessage="1" showErrorMessage="1" prompt="Please insert current price paid for diesel fuel" sqref="E119:F119"/>
    <dataValidation allowBlank="1" showInputMessage="1" showErrorMessage="1" prompt="Please insert expected evolution of the price paid for diesel fuel until 2030" sqref="E120:F120"/>
    <dataValidation allowBlank="1" showInputMessage="1" showErrorMessage="1" prompt="Please insert maintenance costs of conventional diesel 12 -13.5 m buses in 2015 " sqref="E97:F97"/>
    <dataValidation allowBlank="1" showInputMessage="1" showErrorMessage="1" prompt="Please insert maintenance costs of conventional diesel 18 m buses in 2015 " sqref="E98:F98"/>
    <dataValidation allowBlank="1" showInputMessage="1" showErrorMessage="1" prompt="Please insert the expected evolution of the maintenance costs for the conventional Diesel buses until 2030" sqref="E99:F99"/>
    <dataValidation allowBlank="1" showInputMessage="1" showErrorMessage="1" prompt="Please insert number of planned maintenance days for Diesel buses_x000a_" sqref="E100:F100"/>
    <dataValidation allowBlank="1" showInputMessage="1" showErrorMessage="1" prompt="Please insert the technical availability of Diesel buses (excluding planned maintenance days)" sqref="E101:F101"/>
    <dataValidation allowBlank="1" showErrorMessage="1" sqref="E102:F102"/>
    <dataValidation allowBlank="1" showInputMessage="1" showErrorMessage="1" prompt="Self computing cell ! _x000a_Please input figures only if your country is not listed" sqref="E114:F114"/>
    <dataValidation allowBlank="1" showInputMessage="1" showErrorMessage="1" prompt="Self computing cell ! _x000a_Please input figures only if your country is not listed or you want to overwrite the value" sqref="E115:F115"/>
    <dataValidation type="whole" operator="greaterThan" allowBlank="1" showInputMessage="1" showErrorMessage="1" error="Please enter a valid purchasing price" prompt="If market figures based on quotes from suppliers are available please fill in the purchasing price for 12 -13.5 m FC bus in 2015 _x000a__x000a_Otherwise please leave blank and industry figures will be considered" sqref="E24:F24">
      <formula1>199999</formula1>
    </dataValidation>
    <dataValidation type="whole" operator="greaterThan" allowBlank="1" showInputMessage="1" showErrorMessage="1" error="Please enter a valid purchasing price" prompt="If market figures based on quotes from suppliers are available please fill in the purchasing price for 18 m FC bus in 2015 _x000a__x000a_Otherwise please leave blank and industry figures will be considered" sqref="E25:F25">
      <formula1>199999</formula1>
    </dataValidation>
    <dataValidation type="decimal" operator="greaterThan" allowBlank="1" showInputMessage="1" showErrorMessage="1" error="Please input number greater than 0 (zero)" prompt="If market figures based on quotes from suppliers are available please fill in the maintenance costs for conventional parts in 2015_x000a_Otherwise please leave blank and industry figures will be considered" sqref="E34:F34 E28:F28">
      <formula1>0</formula1>
    </dataValidation>
    <dataValidation type="decimal" operator="greaterThan" allowBlank="1" showInputMessage="1" showErrorMessage="1" error="Please input number greater than 0 (zero)" prompt="If market figures based on quotes from suppliers are available please fill in the maintenance costs for FC module (excluding stack replacement) in 2015_x000a_Otherwise please leave blank and industry figures will be considered" sqref="E35:F35 E29:F29">
      <formula1>0</formula1>
    </dataValidation>
    <dataValidation type="decimal" operator="greaterThan" allowBlank="1" showInputMessage="1" showErrorMessage="1" error="Please input number greater than 0 (zero)" prompt="If market figures based on quotes from suppliers are available please fill in the replacement costs for FC stack in 2015_x000a_Otherwise please leave blank and industry figures will be considered" sqref="E36:F36 E30:F30">
      <formula1>0</formula1>
    </dataValidation>
    <dataValidation type="decimal" operator="greaterThan" allowBlank="1" showInputMessage="1" showErrorMessage="1" error="Please input number greater than 0 (zero)" prompt="If market figures based on quotes from suppliers are available please fill in the maintenance costs for other powertrain components in 2015_x000a_Otherwise please leave blank and industry figures will be considered" sqref="E37:F37 E31:F31">
      <formula1>0</formula1>
    </dataValidation>
    <dataValidation allowBlank="1" showInputMessage="1" showErrorMessage="1" prompt="If market figures based on quotes from suppliers are available overwrite the investment required (CAPEX) for the hydrogen infrastructure _x000a_Otherwise please do not modify the value - industry figures will be considered" sqref="E41:F41"/>
    <dataValidation allowBlank="1" showInputMessage="1" showErrorMessage="1" prompt="If market figures based on quotes from suppliers are available please overwrite the maintenance and operating costs for the hydrogen infrastructure _x000a_Otherwise please do not modify the value - industry figures will be considered" sqref="E42:F42"/>
    <dataValidation type="decimal" operator="greaterThanOrEqual" allowBlank="1" showInputMessage="1" showErrorMessage="1" error="Please input whole number equal or above to 0 (zero)" prompt="If you have past FC buses or figures from OEMs are available please overwrite expected fuel consumption of a 12 - 13.5 m FC bus. _x000a_Otherwise please do not modify the value - industry fugures will be considered" sqref="E53:F53">
      <formula1>0</formula1>
    </dataValidation>
    <dataValidation type="decimal" operator="greaterThanOrEqual" allowBlank="1" showInputMessage="1" showErrorMessage="1" error="Please input whole number equal or above to 0 (zero)" prompt="If you have past FC buses or figures from OEMs are available please overwrite expected fuel consumption of a 18 m FC bus. _x000a__x000a_Otherwise please do not modify the value - industry fugures will be considered" sqref="E54:F54">
      <formula1>0</formula1>
    </dataValidation>
    <dataValidation type="whole" operator="greaterThanOrEqual" allowBlank="1" showInputMessage="1" showErrorMessage="1" error="Please input whole number equal or above to 0 (zero)" sqref="F6:T7">
      <formula1>0</formula1>
    </dataValidation>
    <dataValidation type="whole" operator="greaterThan" allowBlank="1" showInputMessage="1" showErrorMessage="1" sqref="D12:D13">
      <formula1>0</formula1>
    </dataValidation>
  </dataValidations>
  <pageMargins left="0.7" right="0.7" top="0.75" bottom="0.75" header="0.3" footer="0.3"/>
  <pageSetup paperSize="9" scale="30" fitToHeight="0" orientation="landscape" r:id="rId1"/>
  <rowBreaks count="1" manualBreakCount="1">
    <brk id="42" max="21" man="1"/>
  </rowBreaks>
  <ignoredErrors>
    <ignoredError sqref="E114:E115 E84 E41:E4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CF160"/>
  <sheetViews>
    <sheetView showGridLines="0" zoomScale="55" zoomScaleNormal="55" zoomScaleSheetLayoutView="40" workbookViewId="0">
      <selection activeCell="D3" sqref="D3"/>
    </sheetView>
  </sheetViews>
  <sheetFormatPr defaultColWidth="0" defaultRowHeight="12.75" zeroHeight="1" x14ac:dyDescent="0.2"/>
  <cols>
    <col min="1" max="1" width="1.140625" style="4" customWidth="1"/>
    <col min="2" max="2" width="1.140625" style="15" customWidth="1"/>
    <col min="3" max="3" width="3.28515625" style="67" customWidth="1"/>
    <col min="4" max="4" width="57.5703125" style="9" customWidth="1"/>
    <col min="5" max="5" width="6.85546875" style="9" customWidth="1"/>
    <col min="6" max="21" width="10.7109375" style="9" customWidth="1"/>
    <col min="22" max="22" width="2.28515625" style="9" customWidth="1"/>
    <col min="23" max="84" width="0" style="9" hidden="1" customWidth="1"/>
    <col min="85" max="16384" width="8.85546875" style="9" hidden="1"/>
  </cols>
  <sheetData>
    <row r="1" spans="2:84" s="4" customFormat="1" ht="6" customHeight="1" thickBot="1" x14ac:dyDescent="0.3">
      <c r="B1" s="15"/>
    </row>
    <row r="2" spans="2:84" s="14" customFormat="1" ht="6" customHeight="1" thickTop="1" x14ac:dyDescent="0.25">
      <c r="B2" s="16"/>
    </row>
    <row r="3" spans="2:84" ht="40.15" customHeight="1" x14ac:dyDescent="0.25">
      <c r="C3" s="60"/>
      <c r="D3" s="675"/>
      <c r="E3" s="676" t="str">
        <f>IF('Cost analysis'!F45&lt;Input!$E$16," TCO not taking into account hydrogen infrastructure costs until "&amp;Input!$E$16,"")</f>
        <v/>
      </c>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row>
    <row r="4" spans="2:84" ht="7.9" customHeight="1" x14ac:dyDescent="0.25"/>
    <row r="5" spans="2:84" ht="13.15" x14ac:dyDescent="0.25">
      <c r="P5" s="78"/>
    </row>
    <row r="6" spans="2:84" ht="23.45" x14ac:dyDescent="0.25">
      <c r="F6" s="715" t="str">
        <f>IF(Input!$G$12="Yes","TSC development - 12 - 13.5 m FC bus [EUR/ km]", "TCO development - 12 - 13.5 m FC bus [EUR/ km]")</f>
        <v>TSC development - 12 - 13.5 m FC bus [EUR/ km]</v>
      </c>
      <c r="G6" s="716"/>
      <c r="H6" s="716"/>
      <c r="I6" s="716"/>
      <c r="J6" s="716"/>
      <c r="K6" s="716"/>
      <c r="L6" s="716"/>
      <c r="M6" s="716"/>
      <c r="N6" s="716"/>
    </row>
    <row r="7" spans="2:84" ht="13.15" x14ac:dyDescent="0.25">
      <c r="K7" s="369"/>
      <c r="L7" s="369"/>
      <c r="M7" s="369"/>
      <c r="N7" s="369"/>
      <c r="O7" s="369"/>
    </row>
    <row r="8" spans="2:84" ht="13.15" x14ac:dyDescent="0.25">
      <c r="K8" s="370"/>
      <c r="L8" s="370"/>
      <c r="M8" s="370"/>
      <c r="N8" s="370"/>
      <c r="O8" s="369"/>
    </row>
    <row r="9" spans="2:84" ht="13.15" x14ac:dyDescent="0.25">
      <c r="K9" s="369"/>
      <c r="L9" s="369"/>
      <c r="M9" s="369"/>
      <c r="N9" s="369"/>
      <c r="O9" s="369"/>
    </row>
    <row r="10" spans="2:84" ht="13.15" x14ac:dyDescent="0.25">
      <c r="K10" s="369"/>
      <c r="L10" s="369"/>
      <c r="M10" s="369"/>
      <c r="N10" s="369"/>
      <c r="O10" s="369"/>
    </row>
    <row r="11" spans="2:84" ht="13.15" x14ac:dyDescent="0.25">
      <c r="K11" s="370"/>
      <c r="L11" s="370"/>
      <c r="M11" s="370"/>
      <c r="N11" s="370"/>
      <c r="O11" s="369"/>
    </row>
    <row r="12" spans="2:84" ht="13.15" x14ac:dyDescent="0.25">
      <c r="K12" s="369"/>
      <c r="L12" s="369"/>
      <c r="M12" s="369"/>
      <c r="N12" s="369"/>
      <c r="O12" s="369"/>
    </row>
    <row r="13" spans="2:84" ht="13.15" x14ac:dyDescent="0.25"/>
    <row r="14" spans="2:84" ht="13.15" x14ac:dyDescent="0.25"/>
    <row r="15" spans="2:84" ht="13.15" x14ac:dyDescent="0.25"/>
    <row r="16" spans="2:84" ht="13.15" x14ac:dyDescent="0.25"/>
    <row r="17" ht="13.15" x14ac:dyDescent="0.25"/>
    <row r="18" ht="13.15" x14ac:dyDescent="0.25"/>
    <row r="19" ht="13.15" x14ac:dyDescent="0.25"/>
    <row r="20" ht="13.15" x14ac:dyDescent="0.25"/>
    <row r="21" ht="13.15" x14ac:dyDescent="0.25"/>
    <row r="22" ht="13.15" x14ac:dyDescent="0.25"/>
    <row r="23" ht="13.15" x14ac:dyDescent="0.25"/>
    <row r="24" ht="13.15" x14ac:dyDescent="0.25"/>
    <row r="25" ht="13.15" x14ac:dyDescent="0.25"/>
    <row r="26" ht="13.15" x14ac:dyDescent="0.25"/>
    <row r="27" ht="13.15" x14ac:dyDescent="0.25"/>
    <row r="28" ht="13.15" x14ac:dyDescent="0.25"/>
    <row r="29" ht="13.15" x14ac:dyDescent="0.25"/>
    <row r="30" ht="13.15" x14ac:dyDescent="0.25"/>
    <row r="31" ht="13.15" x14ac:dyDescent="0.25"/>
    <row r="32" ht="13.15" x14ac:dyDescent="0.25"/>
    <row r="33" spans="6:14" ht="13.15" x14ac:dyDescent="0.25"/>
    <row r="34" spans="6:14" ht="13.15" x14ac:dyDescent="0.25"/>
    <row r="35" spans="6:14" ht="13.15" x14ac:dyDescent="0.25"/>
    <row r="36" spans="6:14" ht="23.45" x14ac:dyDescent="0.25">
      <c r="F36" s="715" t="str">
        <f>IF(Input!$G$12="Yes","TSC development - 18 m FC bus [EUR/ km]", "TCO development - 18 m FC bus [EUR/ km]")</f>
        <v>TSC development - 18 m FC bus [EUR/ km]</v>
      </c>
      <c r="G36" s="716"/>
      <c r="H36" s="716"/>
      <c r="I36" s="716"/>
      <c r="J36" s="716"/>
      <c r="K36" s="716"/>
      <c r="L36" s="716"/>
      <c r="M36" s="716"/>
      <c r="N36" s="716"/>
    </row>
    <row r="37" spans="6:14" ht="13.15" x14ac:dyDescent="0.25"/>
    <row r="38" spans="6:14" ht="13.15" x14ac:dyDescent="0.25"/>
    <row r="39" spans="6:14" ht="13.15" x14ac:dyDescent="0.25"/>
    <row r="40" spans="6:14" ht="13.15" x14ac:dyDescent="0.25"/>
    <row r="41" spans="6:14" ht="13.15" x14ac:dyDescent="0.25"/>
    <row r="42" spans="6:14" ht="13.15" x14ac:dyDescent="0.25"/>
    <row r="43" spans="6:14" ht="13.15" x14ac:dyDescent="0.25"/>
    <row r="44" spans="6:14" ht="13.15" x14ac:dyDescent="0.25"/>
    <row r="45" spans="6:14" ht="13.15" x14ac:dyDescent="0.25"/>
    <row r="46" spans="6:14" ht="13.15" x14ac:dyDescent="0.25"/>
    <row r="47" spans="6:14" ht="13.15" x14ac:dyDescent="0.25"/>
    <row r="48" spans="6:14" ht="13.15" x14ac:dyDescent="0.25"/>
    <row r="49" ht="13.15" x14ac:dyDescent="0.25"/>
    <row r="50" ht="13.15" x14ac:dyDescent="0.25"/>
    <row r="51" ht="13.15" x14ac:dyDescent="0.25"/>
    <row r="52" ht="13.15" x14ac:dyDescent="0.25"/>
    <row r="53" ht="13.15" x14ac:dyDescent="0.25"/>
    <row r="54" ht="13.15" x14ac:dyDescent="0.25"/>
    <row r="55" ht="13.15" x14ac:dyDescent="0.25"/>
    <row r="56" ht="13.15" x14ac:dyDescent="0.25"/>
    <row r="57" ht="13.15" x14ac:dyDescent="0.25"/>
    <row r="58" ht="13.15" x14ac:dyDescent="0.25"/>
    <row r="59" ht="13.15" x14ac:dyDescent="0.25"/>
    <row r="60" ht="13.15" x14ac:dyDescent="0.25"/>
    <row r="61" ht="13.15" x14ac:dyDescent="0.25"/>
    <row r="62" ht="13.15" x14ac:dyDescent="0.25"/>
    <row r="63" ht="13.15" x14ac:dyDescent="0.25"/>
    <row r="64" ht="13.15" x14ac:dyDescent="0.25"/>
    <row r="65" spans="4:12" ht="13.15" x14ac:dyDescent="0.25"/>
    <row r="66" spans="4:12" ht="13.15" x14ac:dyDescent="0.25"/>
    <row r="67" spans="4:12" ht="13.15" x14ac:dyDescent="0.25"/>
    <row r="68" spans="4:12" ht="13.15" x14ac:dyDescent="0.25"/>
    <row r="69" spans="4:12" ht="33" customHeight="1" x14ac:dyDescent="0.25"/>
    <row r="70" spans="4:12" x14ac:dyDescent="0.2"/>
    <row r="71" spans="4:12" x14ac:dyDescent="0.2"/>
    <row r="72" spans="4:12" ht="23.25" x14ac:dyDescent="0.2">
      <c r="D72" s="715" t="str">
        <f>IF(Input!$G$12="Yes","TSC comparison - 12 - 13.5 m bus [EUR/ km]", "TCO comparison - 12 - 13.5 m bus [EUR/ km]")</f>
        <v>TSC comparison - 12 - 13.5 m bus [EUR/ km]</v>
      </c>
      <c r="E72" s="716"/>
      <c r="F72" s="716"/>
      <c r="G72" s="716"/>
      <c r="H72" s="716"/>
      <c r="I72" s="716"/>
      <c r="J72" s="716"/>
      <c r="K72" s="716"/>
      <c r="L72" s="716"/>
    </row>
    <row r="73" spans="4:12" x14ac:dyDescent="0.2"/>
    <row r="74" spans="4:12" x14ac:dyDescent="0.2"/>
    <row r="75" spans="4:12" x14ac:dyDescent="0.2"/>
    <row r="76" spans="4:12" x14ac:dyDescent="0.2"/>
    <row r="77" spans="4:12" x14ac:dyDescent="0.2"/>
    <row r="78" spans="4:12" x14ac:dyDescent="0.2"/>
    <row r="79" spans="4:12" x14ac:dyDescent="0.2"/>
    <row r="80" spans="4:12"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ht="21" customHeight="1" x14ac:dyDescent="0.2"/>
    <row r="95" x14ac:dyDescent="0.2"/>
    <row r="96" x14ac:dyDescent="0.2"/>
    <row r="97" spans="4:12" ht="23.25" x14ac:dyDescent="0.2">
      <c r="D97" s="715" t="str">
        <f>IF(Input!$G$12="Yes","TSC comparison - 18 m bus [EUR/ km]", "TCO comparison - 18 m bus [EUR/ km]")</f>
        <v>TSC comparison - 18 m bus [EUR/ km]</v>
      </c>
      <c r="E97" s="716"/>
      <c r="F97" s="716"/>
      <c r="G97" s="716"/>
      <c r="H97" s="716"/>
      <c r="I97" s="716"/>
      <c r="J97" s="716"/>
      <c r="K97" s="716"/>
      <c r="L97" s="716"/>
    </row>
    <row r="98" spans="4:12" x14ac:dyDescent="0.2"/>
    <row r="99" spans="4:12" x14ac:dyDescent="0.2"/>
    <row r="100" spans="4:12" x14ac:dyDescent="0.2"/>
    <row r="101" spans="4:12" x14ac:dyDescent="0.2"/>
    <row r="102" spans="4:12" x14ac:dyDescent="0.2"/>
    <row r="103" spans="4:12" x14ac:dyDescent="0.2"/>
    <row r="104" spans="4:12" x14ac:dyDescent="0.2"/>
    <row r="105" spans="4:12" x14ac:dyDescent="0.2"/>
    <row r="106" spans="4:12" x14ac:dyDescent="0.2"/>
    <row r="107" spans="4:12" x14ac:dyDescent="0.2"/>
    <row r="108" spans="4:12" x14ac:dyDescent="0.2"/>
    <row r="109" spans="4:12" x14ac:dyDescent="0.2"/>
    <row r="110" spans="4:12" x14ac:dyDescent="0.2"/>
    <row r="111" spans="4:12" x14ac:dyDescent="0.2"/>
    <row r="112" spans="4:12" x14ac:dyDescent="0.2"/>
    <row r="113" spans="4:21" x14ac:dyDescent="0.2"/>
    <row r="114" spans="4:21" x14ac:dyDescent="0.2"/>
    <row r="115" spans="4:21" x14ac:dyDescent="0.2"/>
    <row r="116" spans="4:21" x14ac:dyDescent="0.2"/>
    <row r="117" spans="4:21" ht="64.150000000000006" customHeight="1" x14ac:dyDescent="0.2"/>
    <row r="118" spans="4:21" ht="40.15" customHeight="1" thickBot="1" x14ac:dyDescent="0.25"/>
    <row r="119" spans="4:21" ht="13.15" customHeight="1" x14ac:dyDescent="0.2">
      <c r="D119" s="814" t="str">
        <f>"Comparison Dashboard (ticked categories included in the "&amp;IF(Input!$G$12="Yes","TSC","TCO")&amp;")"</f>
        <v>Comparison Dashboard (ticked categories included in the TSC)</v>
      </c>
      <c r="E119" s="815"/>
      <c r="F119" s="804" t="s">
        <v>203</v>
      </c>
      <c r="G119" s="804"/>
      <c r="H119" s="804"/>
      <c r="I119" s="804"/>
      <c r="J119" s="806" t="s">
        <v>202</v>
      </c>
      <c r="K119" s="806"/>
      <c r="L119" s="806"/>
      <c r="M119" s="806"/>
      <c r="N119" s="808" t="s">
        <v>204</v>
      </c>
      <c r="O119" s="808"/>
      <c r="P119" s="808"/>
      <c r="Q119" s="808"/>
      <c r="R119" s="800" t="s">
        <v>233</v>
      </c>
      <c r="S119" s="800"/>
      <c r="T119" s="800"/>
      <c r="U119" s="801"/>
    </row>
    <row r="120" spans="4:21" ht="13.15" customHeight="1" x14ac:dyDescent="0.2">
      <c r="D120" s="816"/>
      <c r="E120" s="817"/>
      <c r="F120" s="805"/>
      <c r="G120" s="805"/>
      <c r="H120" s="805"/>
      <c r="I120" s="805"/>
      <c r="J120" s="807"/>
      <c r="K120" s="807"/>
      <c r="L120" s="807"/>
      <c r="M120" s="807"/>
      <c r="N120" s="809"/>
      <c r="O120" s="809"/>
      <c r="P120" s="809"/>
      <c r="Q120" s="809"/>
      <c r="R120" s="802"/>
      <c r="S120" s="802"/>
      <c r="T120" s="802"/>
      <c r="U120" s="803"/>
    </row>
    <row r="121" spans="4:21" ht="19.899999999999999" customHeight="1" thickBot="1" x14ac:dyDescent="0.25">
      <c r="D121" s="818"/>
      <c r="E121" s="819"/>
      <c r="F121" s="365">
        <v>2015</v>
      </c>
      <c r="G121" s="365">
        <v>2020</v>
      </c>
      <c r="H121" s="365">
        <v>2025</v>
      </c>
      <c r="I121" s="365">
        <v>2030</v>
      </c>
      <c r="J121" s="367">
        <v>2015</v>
      </c>
      <c r="K121" s="367">
        <v>2020</v>
      </c>
      <c r="L121" s="367">
        <v>2025</v>
      </c>
      <c r="M121" s="367">
        <v>2030</v>
      </c>
      <c r="N121" s="372">
        <v>2015</v>
      </c>
      <c r="O121" s="372">
        <v>2020</v>
      </c>
      <c r="P121" s="372">
        <v>2025</v>
      </c>
      <c r="Q121" s="372">
        <v>2030</v>
      </c>
      <c r="R121" s="373">
        <v>2015</v>
      </c>
      <c r="S121" s="373">
        <v>2020</v>
      </c>
      <c r="T121" s="373">
        <v>2025</v>
      </c>
      <c r="U121" s="378">
        <v>2030</v>
      </c>
    </row>
    <row r="122" spans="4:21" ht="19.899999999999999" hidden="1" customHeight="1" x14ac:dyDescent="0.25">
      <c r="D122" s="438" t="s">
        <v>287</v>
      </c>
      <c r="E122" s="493" t="str">
        <f>IF(Input!M12="Yes",Results!E131,"")</f>
        <v/>
      </c>
      <c r="F122" s="376">
        <f>'Cost analysis'!F61/IF(Input!$G$12="Yes",Input!$E$102,'Cost analysis'!F114)</f>
        <v>0</v>
      </c>
      <c r="G122" s="376">
        <f>'Cost analysis'!K61/IF(Input!$G$12="Yes",Input!$E$102,'Cost analysis'!K114)</f>
        <v>0</v>
      </c>
      <c r="H122" s="376">
        <f>'Cost analysis'!P61/IF(Input!$G$12="Yes",Input!$E$102,'Cost analysis'!P114)</f>
        <v>0</v>
      </c>
      <c r="I122" s="376">
        <f>'Cost analysis'!U61/IF(Input!$G$12="Yes",Input!$E$102,'Cost analysis'!U114)</f>
        <v>0</v>
      </c>
      <c r="J122" s="377">
        <f>'Cost analysis'!F77/IF(Input!$G$12="Yes",Input!$E$102,'Cost analysis'!F114)</f>
        <v>0</v>
      </c>
      <c r="K122" s="377">
        <f>'Cost analysis'!K77/IF(Input!$G$12="Yes",Input!$E$102,'Cost analysis'!K114)</f>
        <v>0</v>
      </c>
      <c r="L122" s="377">
        <f>'Cost analysis'!P77/IF(Input!$G$12="Yes",Input!$E$102,'Cost analysis'!P114)</f>
        <v>0</v>
      </c>
      <c r="M122" s="377">
        <f>'Cost analysis'!U77/IF(Input!$G$12="Yes",Input!$E$102,'Cost analysis'!U114)</f>
        <v>0</v>
      </c>
      <c r="N122" s="444">
        <f>'Cost analysis'!F210/Input!$E$102</f>
        <v>0</v>
      </c>
      <c r="O122" s="444">
        <f>'Cost analysis'!K210/Input!$E$102</f>
        <v>0</v>
      </c>
      <c r="P122" s="444">
        <f>'Cost analysis'!P210/Input!$E$102</f>
        <v>0</v>
      </c>
      <c r="Q122" s="444">
        <f>'Cost analysis'!U210/Input!$E$102</f>
        <v>0</v>
      </c>
      <c r="R122" s="445">
        <f>'Cost analysis'!F222/Input!$E$102</f>
        <v>0</v>
      </c>
      <c r="S122" s="445">
        <f>'Cost analysis'!K222/Input!$E$102</f>
        <v>0</v>
      </c>
      <c r="T122" s="445">
        <f>'Cost analysis'!P222/Input!$E$102</f>
        <v>0</v>
      </c>
      <c r="U122" s="446">
        <f>'Cost analysis'!U222/Input!$E$102</f>
        <v>0</v>
      </c>
    </row>
    <row r="123" spans="4:21" ht="19.899999999999999" hidden="1" customHeight="1" x14ac:dyDescent="0.25">
      <c r="D123" s="437" t="s">
        <v>288</v>
      </c>
      <c r="E123" s="491" t="str">
        <f>IF(Input!J12="Yes",Results!E131,"")</f>
        <v/>
      </c>
      <c r="F123" s="366">
        <f>'Cost analysis'!F60/IF(Input!$G$12="Yes",Input!$E$102,'Cost analysis'!F114)</f>
        <v>0.52402352941176467</v>
      </c>
      <c r="G123" s="366">
        <f>'Cost analysis'!K60/IF(Input!$G$12="Yes",Input!$E$102,'Cost analysis'!K114)</f>
        <v>0.43314054838678023</v>
      </c>
      <c r="H123" s="366">
        <f>'Cost analysis'!P60/IF(Input!$G$12="Yes",Input!$E$102,'Cost analysis'!P114)</f>
        <v>0.36738998269887818</v>
      </c>
      <c r="I123" s="366">
        <f>'Cost analysis'!U60/IF(Input!$G$12="Yes",Input!$E$102,'Cost analysis'!U114)</f>
        <v>0.32012457328143468</v>
      </c>
      <c r="J123" s="368">
        <f>'Cost analysis'!F76/IF(Input!$G$12="Yes",Input!$E$102,'Cost analysis'!F114)</f>
        <v>0.69977941176470593</v>
      </c>
      <c r="K123" s="368">
        <f>'Cost analysis'!K76/IF(Input!$G$12="Yes",Input!$E$102,'Cost analysis'!K114)</f>
        <v>0.55929284712945504</v>
      </c>
      <c r="L123" s="368">
        <f>'Cost analysis'!P76/IF(Input!$G$12="Yes",Input!$E$102,'Cost analysis'!P114)</f>
        <v>0.48762587872680524</v>
      </c>
      <c r="M123" s="368">
        <f>'Cost analysis'!U76/IF(Input!$G$12="Yes",Input!$E$102,'Cost analysis'!U114)</f>
        <v>0.44980315336867033</v>
      </c>
      <c r="N123" s="441">
        <f>'Cost analysis'!F209/Input!$E$102</f>
        <v>0.17022058823529412</v>
      </c>
      <c r="O123" s="441">
        <f>'Cost analysis'!K209/Input!$E$102</f>
        <v>0.17322037366135587</v>
      </c>
      <c r="P123" s="441">
        <f>'Cost analysis'!P209/Input!$E$102</f>
        <v>0.17627302409449871</v>
      </c>
      <c r="Q123" s="441">
        <f>'Cost analysis'!U209/Input!$E$102</f>
        <v>0.1793794711710156</v>
      </c>
      <c r="R123" s="442">
        <f>'Cost analysis'!F221/Input!$E$102</f>
        <v>0.24389705882352941</v>
      </c>
      <c r="S123" s="442">
        <f>'Cost analysis'!K221/Input!$E$102</f>
        <v>0.25507176911323892</v>
      </c>
      <c r="T123" s="442">
        <f>'Cost analysis'!P221/Input!$E$102</f>
        <v>0.26675847471220415</v>
      </c>
      <c r="U123" s="443">
        <f>'Cost analysis'!U221/Input!$E$102</f>
        <v>0.27898063387481442</v>
      </c>
    </row>
    <row r="124" spans="4:21" ht="19.899999999999999" customHeight="1" x14ac:dyDescent="0.2">
      <c r="D124" s="439" t="s">
        <v>289</v>
      </c>
      <c r="E124" s="491" t="str">
        <f>IF(Input!G12="Yes",Results!E131,"")</f>
        <v>ü</v>
      </c>
      <c r="F124" s="440">
        <f>'Cost analysis'!F59/Input!$E$102</f>
        <v>0.46984996357450315</v>
      </c>
      <c r="G124" s="440">
        <f>'Cost analysis'!K59/Input!$E$102</f>
        <v>0.36807664710493571</v>
      </c>
      <c r="H124" s="440">
        <f>'Cost analysis'!P59/Input!$E$102</f>
        <v>0.23019432367809001</v>
      </c>
      <c r="I124" s="440">
        <f>'Cost analysis'!U59/Input!$E$102</f>
        <v>0.16102554822988821</v>
      </c>
      <c r="J124" s="286">
        <f>'Cost analysis'!F75/Input!$E$102</f>
        <v>0.54891910764366825</v>
      </c>
      <c r="K124" s="286">
        <f>'Cost analysis'!K75/Input!$E$102</f>
        <v>0.42824258059803039</v>
      </c>
      <c r="L124" s="286">
        <f>'Cost analysis'!P75/Input!$E$102</f>
        <v>0.26415353774136724</v>
      </c>
      <c r="M124" s="286">
        <f>'Cost analysis'!U75/Input!$E$102</f>
        <v>0.18120559999292665</v>
      </c>
      <c r="N124" s="480">
        <v>0</v>
      </c>
      <c r="O124" s="480">
        <v>0</v>
      </c>
      <c r="P124" s="480">
        <v>0</v>
      </c>
      <c r="Q124" s="480">
        <v>0</v>
      </c>
      <c r="R124" s="481">
        <v>0</v>
      </c>
      <c r="S124" s="481">
        <v>0</v>
      </c>
      <c r="T124" s="481">
        <v>0</v>
      </c>
      <c r="U124" s="482">
        <v>0</v>
      </c>
    </row>
    <row r="125" spans="4:21" ht="19.899999999999999" customHeight="1" x14ac:dyDescent="0.2">
      <c r="D125" s="437" t="s">
        <v>290</v>
      </c>
      <c r="E125" s="491" t="s">
        <v>55</v>
      </c>
      <c r="F125" s="366">
        <f>('Cost analysis'!F58+'Cost analysis'!F82/'Price evolution'!$Q$28)/IF(Input!$G$12="Yes",Input!$E$102,'Cost analysis'!F114)</f>
        <v>0.53579584109055689</v>
      </c>
      <c r="G125" s="366">
        <f>('Cost analysis'!K58+'Cost analysis'!K82/'Price evolution'!$Q$28)/IF(Input!$G$12="Yes",Input!$E$102,'Cost analysis'!K114)</f>
        <v>0.45842051521335692</v>
      </c>
      <c r="H125" s="366">
        <f>('Cost analysis'!P58+'Cost analysis'!P82/'Price evolution'!$Q$28)/IF(Input!$G$12="Yes",Input!$E$102,'Cost analysis'!P114)</f>
        <v>0.40244225185387184</v>
      </c>
      <c r="I125" s="366">
        <f>('Cost analysis'!U58+'Cost analysis'!U82/'Price evolution'!$Q$28)/IF(Input!$G$12="Yes",Input!$E$102,'Cost analysis'!U114)</f>
        <v>0.36220175341128041</v>
      </c>
      <c r="J125" s="368">
        <f>('Cost analysis'!F74+'Cost analysis'!F82/'Price evolution'!$Q$28)/IF(Input!$G$12="Yes",Input!$E$102,'Cost analysis'!F114)</f>
        <v>0.6854296726233835</v>
      </c>
      <c r="K125" s="368">
        <f>('Cost analysis'!K74+'Cost analysis'!K82/'Price evolution'!$Q$28)/IF(Input!$G$12="Yes",Input!$E$102,'Cost analysis'!K114)</f>
        <v>0.56582318967766543</v>
      </c>
      <c r="L125" s="368">
        <f>('Cost analysis'!P74+'Cost analysis'!P82/'Price evolution'!$Q$28)/IF(Input!$G$12="Yes",Input!$E$102,'Cost analysis'!P114)</f>
        <v>0.50480786016001256</v>
      </c>
      <c r="M125" s="368">
        <f>('Cost analysis'!U74+'Cost analysis'!U82/'Price evolution'!$Q$28)/IF(Input!$G$12="Yes",Input!$E$102,'Cost analysis'!U114)</f>
        <v>0.47260660897806694</v>
      </c>
      <c r="N125" s="441">
        <f>('Cost analysis'!F208+'Cost analysis'!F226/'Cost analysis'!$E$197)/Input!$E$102</f>
        <v>0.14717351912918827</v>
      </c>
      <c r="O125" s="441">
        <f>('Cost analysis'!K208+'Cost analysis'!K226/'Cost analysis'!$E$197)/Input!$E$102</f>
        <v>0.14972745576600907</v>
      </c>
      <c r="P125" s="441">
        <f>('Cost analysis'!P208+'Cost analysis'!P226/'Cost analysis'!$E$197)/Input!$E$102</f>
        <v>0.15232640024813032</v>
      </c>
      <c r="Q125" s="441">
        <f>('Cost analysis'!U208+'Cost analysis'!U226/'Cost analysis'!$E$197)/Input!$E$102</f>
        <v>0.15497114574563653</v>
      </c>
      <c r="R125" s="442">
        <f>('Cost analysis'!F220+'Cost analysis'!F226/'Cost analysis'!$E$197)/Input!$E$102</f>
        <v>0.20989968476496851</v>
      </c>
      <c r="S125" s="442">
        <f>('Cost analysis'!K220+'Cost analysis'!K226/'Cost analysis'!$E$197)/Input!$E$102</f>
        <v>0.21941353257781548</v>
      </c>
      <c r="T125" s="442">
        <f>('Cost analysis'!P220+'Cost analysis'!P226/'Cost analysis'!$E$197)/Input!$E$102</f>
        <v>0.22936327942758328</v>
      </c>
      <c r="U125" s="443">
        <f>('Cost analysis'!U220+'Cost analysis'!U226/'Cost analysis'!$E$197)/Input!$E$102</f>
        <v>0.23976889704118229</v>
      </c>
    </row>
    <row r="126" spans="4:21" ht="19.899999999999999" customHeight="1" x14ac:dyDescent="0.2">
      <c r="D126" s="437" t="s">
        <v>446</v>
      </c>
      <c r="E126" s="491" t="s">
        <v>55</v>
      </c>
      <c r="F126" s="366">
        <f>'Cost analysis'!F56/IF(Input!$G$12="Yes",Input!$E$102,'Cost analysis'!F114)</f>
        <v>0.96553182917002411</v>
      </c>
      <c r="G126" s="366">
        <f>'Cost analysis'!K56/IF(Input!$G$12="Yes",Input!$E$102,'Cost analysis'!K114)</f>
        <v>1.140721205955189</v>
      </c>
      <c r="H126" s="366">
        <f>'Cost analysis'!P56/IF(Input!$G$12="Yes",Input!$E$102,'Cost analysis'!P114)</f>
        <v>1.3504488726473343</v>
      </c>
      <c r="I126" s="366">
        <f>'Cost analysis'!U56/IF(Input!$G$12="Yes",Input!$E$102,'Cost analysis'!U114)</f>
        <v>1.5399049204531439</v>
      </c>
      <c r="J126" s="368">
        <f>'Cost analysis'!F72/IF(Input!$G$12="Yes",Input!$E$102,'Cost analysis'!F114)</f>
        <v>0.97131345688960513</v>
      </c>
      <c r="K126" s="368">
        <f>'Cost analysis'!K72/IF(Input!$G$12="Yes",Input!$E$102,'Cost analysis'!K114)</f>
        <v>1.1475518718591122</v>
      </c>
      <c r="L126" s="368">
        <f>'Cost analysis'!P72/IF(Input!$G$12="Yes",Input!$E$102,'Cost analysis'!P114)</f>
        <v>1.3585353928428274</v>
      </c>
      <c r="M126" s="368">
        <f>'Cost analysis'!U72/IF(Input!$G$12="Yes",Input!$E$102,'Cost analysis'!U114)</f>
        <v>1.5491259080007675</v>
      </c>
      <c r="N126" s="371">
        <f>'Cost analysis'!F206/Input!$E$102</f>
        <v>1.2279411764705883</v>
      </c>
      <c r="O126" s="371">
        <f>'Cost analysis'!K206/Input!$E$102</f>
        <v>1.3557462804</v>
      </c>
      <c r="P126" s="371">
        <f>'Cost analysis'!P206/Input!$E$102</f>
        <v>1.4968534421994444</v>
      </c>
      <c r="Q126" s="371">
        <f>'Cost analysis'!U206/Input!$E$102</f>
        <v>1.652647150736247</v>
      </c>
      <c r="R126" s="374">
        <f>'Cost analysis'!F218/Input!$E$102</f>
        <v>1.2352941176470589</v>
      </c>
      <c r="S126" s="374">
        <f>'Cost analysis'!K218/Input!$E$102</f>
        <v>1.3638645216</v>
      </c>
      <c r="T126" s="374">
        <f>'Cost analysis'!P218/Input!$E$102</f>
        <v>1.5058166364641117</v>
      </c>
      <c r="U126" s="379">
        <f>'Cost analysis'!U218/Input!$E$102</f>
        <v>1.6625432414592185</v>
      </c>
    </row>
    <row r="127" spans="4:21" ht="19.899999999999999" customHeight="1" x14ac:dyDescent="0.2">
      <c r="D127" s="437" t="s">
        <v>291</v>
      </c>
      <c r="E127" s="491" t="s">
        <v>55</v>
      </c>
      <c r="F127" s="366">
        <f>('Cost analysis'!F79/'Price evolution'!$Q$28+'Cost analysis'!F81/'Price evolution'!$Q$28)/IF(Input!$G$12="Yes",Input!$E$102,'Cost analysis'!F114)</f>
        <v>0.20281862745098039</v>
      </c>
      <c r="G127" s="366">
        <f>('Cost analysis'!K79/'Price evolution'!$Q$28+'Cost analysis'!K81/'Price evolution'!$Q$28)/IF(Input!$G$12="Yes",Input!$E$102,'Cost analysis'!K114)</f>
        <v>0.20281862745098039</v>
      </c>
      <c r="H127" s="366">
        <f>('Cost analysis'!P79/'Price evolution'!$Q$28+'Cost analysis'!P81/'Price evolution'!$Q$28)/IF(Input!$G$12="Yes",Input!$E$102,'Cost analysis'!P114)</f>
        <v>0.20281862745098039</v>
      </c>
      <c r="I127" s="366">
        <f>('Cost analysis'!U79/'Price evolution'!$Q$28+'Cost analysis'!U81/'Price evolution'!$Q$28)/IF(Input!$G$12="Yes",Input!$E$102,'Cost analysis'!U114)</f>
        <v>0.20281862745098039</v>
      </c>
      <c r="J127" s="368">
        <f>('Cost analysis'!F79/'Price evolution'!$Q$28+'Cost analysis'!F81/'Price evolution'!$Q$28)/IF(Input!$G$12="Yes",Input!$E$102,'Cost analysis'!F114)</f>
        <v>0.20281862745098039</v>
      </c>
      <c r="K127" s="368">
        <f>('Cost analysis'!K79/'Price evolution'!$Q$28+'Cost analysis'!K81/'Price evolution'!$Q$28)/IF(Input!$G$12="Yes",Input!$E$102,'Cost analysis'!K114)</f>
        <v>0.20281862745098039</v>
      </c>
      <c r="L127" s="368">
        <f>('Cost analysis'!P79/'Price evolution'!$Q$28+'Cost analysis'!P81/'Price evolution'!$Q$28)/IF(Input!$G$12="Yes",Input!$E$102,'Cost analysis'!P114)</f>
        <v>0.20281862745098039</v>
      </c>
      <c r="M127" s="368">
        <f>('Cost analysis'!U79/'Price evolution'!$Q$28+'Cost analysis'!U81/'Price evolution'!$Q$28)/IF(Input!$G$12="Yes",Input!$E$102,'Cost analysis'!U114)</f>
        <v>0.20281862745098039</v>
      </c>
      <c r="N127" s="371">
        <f>('Cost analysis'!F224+'Cost analysis'!F225)/'Cost analysis'!$E$197/Input!$E$102</f>
        <v>2.1360294117647057E-2</v>
      </c>
      <c r="O127" s="371">
        <f>('Cost analysis'!K224+'Cost analysis'!K225)/'Cost analysis'!$E$197/Input!$E$102</f>
        <v>2.2517138991601543E-2</v>
      </c>
      <c r="P127" s="371">
        <f>('Cost analysis'!P224+'Cost analysis'!P225)/'Cost analysis'!$E$197/Input!$E$102</f>
        <v>2.3745080525120751E-2</v>
      </c>
      <c r="Q127" s="371">
        <f>('Cost analysis'!U224+'Cost analysis'!U225)/'Cost analysis'!$E$197/Input!$E$102</f>
        <v>2.5048488132907606E-2</v>
      </c>
      <c r="R127" s="374">
        <f>('Cost analysis'!F224+'Cost analysis'!F225)/'Cost analysis'!$E$197/Input!$E$102</f>
        <v>2.1360294117647057E-2</v>
      </c>
      <c r="S127" s="374">
        <f>('Cost analysis'!K224+'Cost analysis'!K225)/'Cost analysis'!$E$197/Input!$E$102</f>
        <v>2.2517138991601543E-2</v>
      </c>
      <c r="T127" s="374">
        <f>('Cost analysis'!P224+'Cost analysis'!P225)/'Cost analysis'!$E$197/Input!$E$102</f>
        <v>2.3745080525120751E-2</v>
      </c>
      <c r="U127" s="379">
        <f>('Cost analysis'!U224+'Cost analysis'!U225)/'Cost analysis'!$E$197/Input!$E$102</f>
        <v>2.5048488132907606E-2</v>
      </c>
    </row>
    <row r="128" spans="4:21" ht="19.899999999999999" customHeight="1" x14ac:dyDescent="0.2">
      <c r="D128" s="437" t="s">
        <v>450</v>
      </c>
      <c r="E128" s="491" t="s">
        <v>55</v>
      </c>
      <c r="F128" s="366">
        <f>'Cost analysis'!F80/'Price evolution'!$Q$28/IF(Input!$G$12="Yes",Input!$E$102,'Cost analysis'!F114)</f>
        <v>9.1911764705882356E-3</v>
      </c>
      <c r="G128" s="366">
        <f>'Cost analysis'!K80/'Price evolution'!$Q$28/IF(Input!$G$12="Yes",Input!$E$102,'Cost analysis'!K114)</f>
        <v>9.1911764705882356E-3</v>
      </c>
      <c r="H128" s="366">
        <f>'Cost analysis'!P80/'Price evolution'!$Q$28/IF(Input!$G$12="Yes",Input!$E$102,'Cost analysis'!P114)</f>
        <v>9.1911764705882356E-3</v>
      </c>
      <c r="I128" s="366">
        <f>'Cost analysis'!U80/'Price evolution'!$Q$28/IF(Input!$G$12="Yes",Input!$E$102,'Cost analysis'!U114)</f>
        <v>9.1911764705882356E-3</v>
      </c>
      <c r="J128" s="368">
        <f>'Cost analysis'!F80/'Price evolution'!$Q$28/IF(Input!$G$12="Yes",Input!$E$102,'Cost analysis'!F114)</f>
        <v>9.1911764705882356E-3</v>
      </c>
      <c r="K128" s="368">
        <f>'Cost analysis'!K80/'Price evolution'!$Q$28/IF(Input!$G$12="Yes",Input!$E$102,'Cost analysis'!K114)</f>
        <v>9.1911764705882356E-3</v>
      </c>
      <c r="L128" s="368">
        <f>'Cost analysis'!P80/'Price evolution'!$Q$28/IF(Input!$G$12="Yes",Input!$E$102,'Cost analysis'!P114)</f>
        <v>9.1911764705882356E-3</v>
      </c>
      <c r="M128" s="368">
        <f>'Cost analysis'!U80/'Price evolution'!$Q$28/IF(Input!$G$12="Yes",Input!$E$102,'Cost analysis'!U114)</f>
        <v>9.1911764705882356E-3</v>
      </c>
      <c r="N128" s="371">
        <v>0</v>
      </c>
      <c r="O128" s="371">
        <v>0</v>
      </c>
      <c r="P128" s="371">
        <v>0</v>
      </c>
      <c r="Q128" s="371">
        <v>0</v>
      </c>
      <c r="R128" s="374">
        <v>0</v>
      </c>
      <c r="S128" s="374">
        <v>0</v>
      </c>
      <c r="T128" s="374">
        <v>0</v>
      </c>
      <c r="U128" s="379">
        <v>0</v>
      </c>
    </row>
    <row r="129" spans="1:22" ht="19.899999999999999" customHeight="1" x14ac:dyDescent="0.2">
      <c r="D129" s="437" t="s">
        <v>292</v>
      </c>
      <c r="E129" s="491" t="s">
        <v>55</v>
      </c>
      <c r="F129" s="366">
        <f>'Cost analysis'!F50/IF(Input!$G$12="Yes",Input!$E$102,'Cost analysis'!F114)</f>
        <v>0.34172419730392156</v>
      </c>
      <c r="G129" s="366">
        <f>'Cost analysis'!K50/IF(Input!$G$12="Yes",Input!$E$102,'Cost analysis'!K114)</f>
        <v>0.35934443575771852</v>
      </c>
      <c r="H129" s="366">
        <f>'Cost analysis'!P50/IF(Input!$G$12="Yes",Input!$E$102,'Cost analysis'!P114)</f>
        <v>0.37782754013162895</v>
      </c>
      <c r="I129" s="366">
        <f>'Cost analysis'!U50/IF(Input!$G$12="Yes",Input!$E$102,'Cost analysis'!U114)</f>
        <v>0.38992354751268793</v>
      </c>
      <c r="J129" s="368">
        <f>'Cost analysis'!F66/IF(Input!$G$12="Yes",Input!$E$102,'Cost analysis'!F114)</f>
        <v>0.51521494362745091</v>
      </c>
      <c r="K129" s="368">
        <f>'Cost analysis'!K66/IF(Input!$G$12="Yes",Input!$E$102,'Cost analysis'!K114)</f>
        <v>0.54902784496168855</v>
      </c>
      <c r="L129" s="368">
        <f>'Cost analysis'!P66/IF(Input!$G$12="Yes",Input!$E$102,'Cost analysis'!P114)</f>
        <v>0.59952942375447504</v>
      </c>
      <c r="M129" s="368">
        <f>'Cost analysis'!U66/IF(Input!$G$12="Yes",Input!$E$102,'Cost analysis'!U114)</f>
        <v>0.62574128121061878</v>
      </c>
      <c r="N129" s="371">
        <f>'Cost analysis'!F203/Input!$E$102</f>
        <v>0.4</v>
      </c>
      <c r="O129" s="371">
        <f>'Cost analysis'!K203/Input!$E$102</f>
        <v>0.44759551447902485</v>
      </c>
      <c r="P129" s="371">
        <f>'Cost analysis'!P203/Input!$E$102</f>
        <v>0.50085436145435736</v>
      </c>
      <c r="Q129" s="371">
        <f>'Cost analysis'!U203/Input!$E$102</f>
        <v>0.56045041398556628</v>
      </c>
      <c r="R129" s="374">
        <f>'Cost analysis'!F215/Input!$E$102</f>
        <v>0.5</v>
      </c>
      <c r="S129" s="374">
        <f>'Cost analysis'!K215/Input!$E$102</f>
        <v>0.55949439309878113</v>
      </c>
      <c r="T129" s="374">
        <f>'Cost analysis'!P215/Input!$E$102</f>
        <v>0.6260679518179465</v>
      </c>
      <c r="U129" s="379">
        <f>'Cost analysis'!U215/Input!$E$102</f>
        <v>0.70056301748195793</v>
      </c>
    </row>
    <row r="130" spans="1:22" ht="19.899999999999999" customHeight="1" x14ac:dyDescent="0.2">
      <c r="D130" s="437" t="s">
        <v>293</v>
      </c>
      <c r="E130" s="491" t="s">
        <v>55</v>
      </c>
      <c r="F130" s="366">
        <f>('Cost analysis'!F52+'Cost analysis'!F53+'Cost analysis'!F54+'Cost analysis'!F55)/IF(Input!$G$12="Yes",Input!$E$102,'Cost analysis'!F114)</f>
        <v>0.44507661362184819</v>
      </c>
      <c r="G130" s="366">
        <f>('Cost analysis'!K52+'Cost analysis'!K53+'Cost analysis'!K54+'Cost analysis'!K55)/IF(Input!$G$12="Yes",Input!$E$102,'Cost analysis'!K114)</f>
        <v>0.38749517056266691</v>
      </c>
      <c r="H130" s="366">
        <f>('Cost analysis'!P52+'Cost analysis'!P53+'Cost analysis'!P54+'Cost analysis'!P55)/IF(Input!$G$12="Yes",Input!$E$102,'Cost analysis'!P114)</f>
        <v>0.31121259923578865</v>
      </c>
      <c r="I130" s="366">
        <f>('Cost analysis'!U52+'Cost analysis'!U53+'Cost analysis'!U54+'Cost analysis'!U55)/IF(Input!$G$12="Yes",Input!$E$102,'Cost analysis'!U114)</f>
        <v>0.26689743068771316</v>
      </c>
      <c r="J130" s="368">
        <f>('Cost analysis'!F68+'Cost analysis'!F69+'Cost analysis'!F70+'Cost analysis'!F71)/IF(Input!$G$12="Yes",Input!$E$102,'Cost analysis'!F114)</f>
        <v>0.59881956131042235</v>
      </c>
      <c r="K130" s="368">
        <f>('Cost analysis'!K68+'Cost analysis'!K69+'Cost analysis'!K70+'Cost analysis'!K71)/IF(Input!$G$12="Yes",Input!$E$102,'Cost analysis'!K114)</f>
        <v>0.51722224180973275</v>
      </c>
      <c r="L130" s="368">
        <f>('Cost analysis'!P68+'Cost analysis'!P69+'Cost analysis'!P70+'Cost analysis'!P71)/IF(Input!$G$12="Yes",Input!$E$102,'Cost analysis'!P114)</f>
        <v>0.42038348339381126</v>
      </c>
      <c r="M130" s="368">
        <f>('Cost analysis'!U68+'Cost analysis'!U69+'Cost analysis'!U70+'Cost analysis'!U71)/IF(Input!$G$12="Yes",Input!$E$102,'Cost analysis'!U114)</f>
        <v>0.36012080054428269</v>
      </c>
      <c r="N130" s="371">
        <f>'Cost analysis'!F205/Input!$E$102</f>
        <v>0.26</v>
      </c>
      <c r="O130" s="371">
        <f>'Cost analysis'!K205/Input!$E$102</f>
        <v>0.27326261302599997</v>
      </c>
      <c r="P130" s="371">
        <f>'Cost analysis'!P205/Input!$E$102</f>
        <v>0.28720175260691322</v>
      </c>
      <c r="Q130" s="371">
        <f>'Cost analysis'!U205/Input!$E$102</f>
        <v>0.30185192839619962</v>
      </c>
      <c r="R130" s="374">
        <f>'Cost analysis'!F217/Input!$E$102</f>
        <v>0.39</v>
      </c>
      <c r="S130" s="374">
        <f>'Cost analysis'!K217/Input!$E$102</f>
        <v>0.40989391953900001</v>
      </c>
      <c r="T130" s="374">
        <f>'Cost analysis'!P217/Input!$E$102</f>
        <v>0.43080262891036986</v>
      </c>
      <c r="U130" s="379">
        <f>'Cost analysis'!U217/Input!$E$102</f>
        <v>0.4527778925942994</v>
      </c>
    </row>
    <row r="131" spans="1:22" ht="19.899999999999999" customHeight="1" thickBot="1" x14ac:dyDescent="0.25">
      <c r="D131" s="439" t="s">
        <v>294</v>
      </c>
      <c r="E131" s="492" t="s">
        <v>55</v>
      </c>
      <c r="F131" s="440">
        <f>('Cost analysis'!F49)/IF(Input!$G$12="Yes",Input!$E$102,'Cost analysis'!F114)</f>
        <v>0.87337254901960792</v>
      </c>
      <c r="G131" s="440">
        <f>('Cost analysis'!K49)/IF(Input!$G$12="Yes",Input!$E$102,'Cost analysis'!K114)</f>
        <v>0.72190091397796696</v>
      </c>
      <c r="H131" s="440">
        <f>('Cost analysis'!P49)/IF(Input!$G$12="Yes",Input!$E$102,'Cost analysis'!P114)</f>
        <v>0.61231663783146362</v>
      </c>
      <c r="I131" s="440">
        <f>('Cost analysis'!U49)/IF(Input!$G$12="Yes",Input!$E$102,'Cost analysis'!U114)</f>
        <v>0.53354095546905778</v>
      </c>
      <c r="J131" s="286">
        <f>('Cost analysis'!F65)/IF(Input!$G$12="Yes",Input!$E$102,'Cost analysis'!F114)</f>
        <v>1.1662990196078431</v>
      </c>
      <c r="K131" s="286">
        <f>('Cost analysis'!K65)/IF(Input!$G$12="Yes",Input!$E$102,'Cost analysis'!K114)</f>
        <v>0.93215474521575814</v>
      </c>
      <c r="L131" s="286">
        <f>('Cost analysis'!P65)/IF(Input!$G$12="Yes",Input!$E$102,'Cost analysis'!P114)</f>
        <v>0.81270979787800868</v>
      </c>
      <c r="M131" s="286">
        <f>('Cost analysis'!U65)/IF(Input!$G$12="Yes",Input!$E$102,'Cost analysis'!U114)</f>
        <v>0.74967192228111712</v>
      </c>
      <c r="N131" s="457">
        <f>'Cost analysis'!F201/Input!$E$102</f>
        <v>0.28370098039215685</v>
      </c>
      <c r="O131" s="457">
        <f>'Cost analysis'!K201/Input!$E$102</f>
        <v>0.28870062276892644</v>
      </c>
      <c r="P131" s="457">
        <f>'Cost analysis'!P201/Input!$E$102</f>
        <v>0.2937883734908312</v>
      </c>
      <c r="Q131" s="457">
        <f>'Cost analysis'!U201/Input!$E$102</f>
        <v>0.29896578528502599</v>
      </c>
      <c r="R131" s="458">
        <f>'Cost analysis'!F213/Input!$E$102</f>
        <v>0.40649509803921569</v>
      </c>
      <c r="S131" s="458">
        <f>'Cost analysis'!K213/Input!$E$102</f>
        <v>0.42511961518873154</v>
      </c>
      <c r="T131" s="458">
        <f>'Cost analysis'!P213/Input!$E$102</f>
        <v>0.44459745785367361</v>
      </c>
      <c r="U131" s="459">
        <f>'Cost analysis'!U213/Input!$E$102</f>
        <v>0.46496772312469065</v>
      </c>
    </row>
    <row r="132" spans="1:22" ht="25.15" customHeight="1" thickBot="1" x14ac:dyDescent="0.25">
      <c r="D132" s="460" t="str">
        <f>IF(Input!$G$12="Yes"," Total TSC [EUR/ km]", " Total TCO [EUR/ km]")</f>
        <v xml:space="preserve"> Total TSC [EUR/ km]</v>
      </c>
      <c r="E132" s="486"/>
      <c r="F132" s="461">
        <f>F131+F127+F125+F126+F128+F129+F130+IF(Input!$G$12="Yes",Results!F124,0)+IF(Input!$J$12="Yes",Results!F123,0)+IF(Input!$M$12="Yes",Results!F122,0)</f>
        <v>3.8433607977020303</v>
      </c>
      <c r="G132" s="461">
        <f>G131+G127+G125+G126+G128+G129+G130+IF(Input!$G$12="Yes",Results!G124,0)+IF(Input!$J$12="Yes",Results!G123,0)+IF(Input!$M$12="Yes",Results!G122,0)</f>
        <v>3.6479686924934027</v>
      </c>
      <c r="H132" s="461">
        <f>H131+H127+H125+H126+H128+H129+H130+IF(Input!$G$12="Yes",Results!H124,0)+IF(Input!$J$12="Yes",Results!H123,0)+IF(Input!$M$12="Yes",Results!H122,0)</f>
        <v>3.4964520292997467</v>
      </c>
      <c r="I132" s="461">
        <f>I131+I127+I125+I126+I128+I129+I130+IF(Input!$G$12="Yes",Results!I124,0)+IF(Input!$J$12="Yes",Results!I123,0)+IF(Input!$M$12="Yes",Results!I122,0)</f>
        <v>3.4655039596853401</v>
      </c>
      <c r="J132" s="462">
        <f>J131+J127+J125+J126+J128+J129+J130+IF(Input!$G$12="Yes",Results!J124,0)+IF(Input!$J$12="Yes",Results!J123,0)+IF(Input!$M$12="Yes",Results!J122,0)</f>
        <v>4.6980055656239426</v>
      </c>
      <c r="K132" s="462">
        <f>K131+K127+K125+K126+K128+K129+K130+IF(Input!$G$12="Yes",Results!K124,0)+IF(Input!$J$12="Yes",Results!K123,0)+IF(Input!$M$12="Yes",Results!K122,0)</f>
        <v>4.3520322780435556</v>
      </c>
      <c r="L132" s="462">
        <f>L131+L127+L125+L126+L128+L129+L130+IF(Input!$G$12="Yes",Results!L124,0)+IF(Input!$J$12="Yes",Results!L123,0)+IF(Input!$M$12="Yes",Results!L122,0)</f>
        <v>4.1721292996920711</v>
      </c>
      <c r="M132" s="462">
        <f>M131+M127+M125+M126+M128+M129+M130+IF(Input!$G$12="Yes",Results!M124,0)+IF(Input!$J$12="Yes",Results!M123,0)+IF(Input!$M$12="Yes",Results!M122,0)</f>
        <v>4.1504819249293483</v>
      </c>
      <c r="N132" s="463">
        <f>N131+N127+N125+N126+N128+N129+N130+IF(Input!$G$12="Yes",Results!N124,0)+IF(Input!$J$12="Yes",Results!N123,0)+IF(Input!$M$12="Yes",Results!N122,0)</f>
        <v>2.3401759701095806</v>
      </c>
      <c r="O132" s="463">
        <f>O131+O127+O125+O126+O128+O129+O130+IF(Input!$G$12="Yes",Results!O124,0)+IF(Input!$J$12="Yes",Results!O123,0)+IF(Input!$M$12="Yes",Results!O122,0)</f>
        <v>2.5375496254315619</v>
      </c>
      <c r="P132" s="463">
        <f>P131+P127+P125+P126+P128+P129+P130+IF(Input!$G$12="Yes",Results!P124,0)+IF(Input!$J$12="Yes",Results!P123,0)+IF(Input!$M$12="Yes",Results!P122,0)</f>
        <v>2.7547694105247973</v>
      </c>
      <c r="Q132" s="463">
        <f>Q131+Q127+Q125+Q126+Q128+Q129+Q130+IF(Input!$G$12="Yes",Results!Q124,0)+IF(Input!$J$12="Yes",Results!Q123,0)+IF(Input!$M$12="Yes",Results!Q122,0)</f>
        <v>2.993934912281583</v>
      </c>
      <c r="R132" s="464">
        <f>R131+R127+R125+R126+R128+R129+R130+IF(Input!$G$12="Yes",Results!R124,0)+IF(Input!$J$12="Yes",Results!R123,0)+IF(Input!$M$12="Yes",Results!R122,0)</f>
        <v>2.76304919456889</v>
      </c>
      <c r="S132" s="464">
        <f>S131+S127+S125+S126+S128+S129+S130+IF(Input!$G$12="Yes",Results!S124,0)+IF(Input!$J$12="Yes",Results!S123,0)+IF(Input!$M$12="Yes",Results!S122,0)</f>
        <v>3.0003031209959294</v>
      </c>
      <c r="T132" s="464">
        <f>T131+T127+T125+T126+T128+T129+T130+IF(Input!$G$12="Yes",Results!T124,0)+IF(Input!$J$12="Yes",Results!T123,0)+IF(Input!$M$12="Yes",Results!T122,0)</f>
        <v>3.2603930349988057</v>
      </c>
      <c r="U132" s="465">
        <f>U131+U127+U125+U126+U128+U129+U130+IF(Input!$G$12="Yes",Results!U124,0)+IF(Input!$J$12="Yes",Results!U123,0)+IF(Input!$M$12="Yes",Results!U122,0)</f>
        <v>3.5456692598342565</v>
      </c>
      <c r="V132" s="502"/>
    </row>
    <row r="133" spans="1:22" ht="40.15" customHeight="1" thickBot="1" x14ac:dyDescent="0.25"/>
    <row r="134" spans="1:22" ht="40.15" customHeight="1" thickBot="1" x14ac:dyDescent="0.25">
      <c r="C134" s="60"/>
      <c r="D134" s="813" t="s">
        <v>444</v>
      </c>
      <c r="E134" s="811"/>
      <c r="F134" s="424">
        <v>2015</v>
      </c>
      <c r="G134" s="424">
        <f t="shared" ref="G134:U134" si="0">F134+1</f>
        <v>2016</v>
      </c>
      <c r="H134" s="424">
        <f t="shared" si="0"/>
        <v>2017</v>
      </c>
      <c r="I134" s="424">
        <f t="shared" si="0"/>
        <v>2018</v>
      </c>
      <c r="J134" s="424">
        <f t="shared" si="0"/>
        <v>2019</v>
      </c>
      <c r="K134" s="424">
        <f t="shared" si="0"/>
        <v>2020</v>
      </c>
      <c r="L134" s="424">
        <f t="shared" si="0"/>
        <v>2021</v>
      </c>
      <c r="M134" s="424">
        <f t="shared" si="0"/>
        <v>2022</v>
      </c>
      <c r="N134" s="424">
        <f t="shared" si="0"/>
        <v>2023</v>
      </c>
      <c r="O134" s="424">
        <f t="shared" si="0"/>
        <v>2024</v>
      </c>
      <c r="P134" s="424">
        <f t="shared" si="0"/>
        <v>2025</v>
      </c>
      <c r="Q134" s="424">
        <f t="shared" si="0"/>
        <v>2026</v>
      </c>
      <c r="R134" s="424">
        <f t="shared" si="0"/>
        <v>2027</v>
      </c>
      <c r="S134" s="424">
        <f t="shared" si="0"/>
        <v>2028</v>
      </c>
      <c r="T134" s="424">
        <f t="shared" si="0"/>
        <v>2029</v>
      </c>
      <c r="U134" s="425">
        <f t="shared" si="0"/>
        <v>2030</v>
      </c>
    </row>
    <row r="135" spans="1:22" s="29" customFormat="1" ht="19.899999999999999" customHeight="1" x14ac:dyDescent="0.2">
      <c r="A135" s="61"/>
      <c r="B135" s="62"/>
      <c r="C135" s="404"/>
      <c r="D135" s="450" t="str">
        <f>'Cost analysis'!D147</f>
        <v xml:space="preserve"> Downtime costs [EUR]</v>
      </c>
      <c r="E135" s="483"/>
      <c r="F135" s="448">
        <f>'Cost analysis'!F147</f>
        <v>0</v>
      </c>
      <c r="G135" s="448">
        <f>'Cost analysis'!G147</f>
        <v>0</v>
      </c>
      <c r="H135" s="448">
        <f>'Cost analysis'!H147</f>
        <v>0</v>
      </c>
      <c r="I135" s="448">
        <f>'Cost analysis'!I147</f>
        <v>0</v>
      </c>
      <c r="J135" s="448">
        <f>'Cost analysis'!J147</f>
        <v>0</v>
      </c>
      <c r="K135" s="448">
        <f>'Cost analysis'!K147</f>
        <v>0</v>
      </c>
      <c r="L135" s="448">
        <f>'Cost analysis'!L147</f>
        <v>0</v>
      </c>
      <c r="M135" s="448">
        <f>'Cost analysis'!M147</f>
        <v>0</v>
      </c>
      <c r="N135" s="448">
        <f>'Cost analysis'!N147</f>
        <v>0</v>
      </c>
      <c r="O135" s="448">
        <f>'Cost analysis'!O147</f>
        <v>0</v>
      </c>
      <c r="P135" s="448">
        <f>'Cost analysis'!P147</f>
        <v>0</v>
      </c>
      <c r="Q135" s="448">
        <f>'Cost analysis'!Q147</f>
        <v>0</v>
      </c>
      <c r="R135" s="448">
        <f>'Cost analysis'!R147</f>
        <v>0</v>
      </c>
      <c r="S135" s="448">
        <f>'Cost analysis'!S147</f>
        <v>0</v>
      </c>
      <c r="T135" s="448">
        <f>'Cost analysis'!T147</f>
        <v>0</v>
      </c>
      <c r="U135" s="449">
        <f>'Cost analysis'!U147</f>
        <v>0</v>
      </c>
    </row>
    <row r="136" spans="1:22" s="29" customFormat="1" ht="19.899999999999999" customHeight="1" x14ac:dyDescent="0.2">
      <c r="A136" s="61"/>
      <c r="B136" s="62"/>
      <c r="C136" s="404"/>
      <c r="D136" s="450" t="str">
        <f>'Cost analysis'!D143</f>
        <v xml:space="preserve"> Financing costs [EUR]</v>
      </c>
      <c r="E136" s="483"/>
      <c r="F136" s="451">
        <f>'Cost analysis'!F143</f>
        <v>121932.56937480901</v>
      </c>
      <c r="G136" s="451">
        <f>'Cost analysis'!G143</f>
        <v>121932.56937480901</v>
      </c>
      <c r="H136" s="451">
        <f>'Cost analysis'!H143</f>
        <v>121932.56937480901</v>
      </c>
      <c r="I136" s="451">
        <f>'Cost analysis'!I143</f>
        <v>121932.56937480901</v>
      </c>
      <c r="J136" s="451">
        <f>'Cost analysis'!J143</f>
        <v>121932.56937480901</v>
      </c>
      <c r="K136" s="451">
        <f>'Cost analysis'!K143</f>
        <v>121932.56937480901</v>
      </c>
      <c r="L136" s="451">
        <f>'Cost analysis'!L143</f>
        <v>121932.56937480901</v>
      </c>
      <c r="M136" s="451">
        <f>'Cost analysis'!M143</f>
        <v>121932.56937480901</v>
      </c>
      <c r="N136" s="451">
        <f>'Cost analysis'!N143</f>
        <v>121932.56937480901</v>
      </c>
      <c r="O136" s="451">
        <f>'Cost analysis'!O143</f>
        <v>121932.56937480901</v>
      </c>
      <c r="P136" s="451">
        <f>'Cost analysis'!P143</f>
        <v>121932.56937480901</v>
      </c>
      <c r="Q136" s="451">
        <f>'Cost analysis'!Q143</f>
        <v>121932.56937480901</v>
      </c>
      <c r="R136" s="451">
        <f>'Cost analysis'!R143</f>
        <v>121932.56937480901</v>
      </c>
      <c r="S136" s="451">
        <f>'Cost analysis'!S143</f>
        <v>121932.56937480901</v>
      </c>
      <c r="T136" s="451">
        <f>'Cost analysis'!T143</f>
        <v>121932.56937480901</v>
      </c>
      <c r="U136" s="452">
        <f>'Cost analysis'!U143</f>
        <v>121932.56937480901</v>
      </c>
    </row>
    <row r="137" spans="1:22" s="29" customFormat="1" ht="19.899999999999999" customHeight="1" x14ac:dyDescent="0.2">
      <c r="A137" s="61"/>
      <c r="B137" s="62"/>
      <c r="C137" s="404"/>
      <c r="D137" s="450" t="str">
        <f>'Cost analysis'!D138</f>
        <v xml:space="preserve"> Labor costs [EUR]</v>
      </c>
      <c r="E137" s="483"/>
      <c r="F137" s="451">
        <f>'Cost analysis'!F138</f>
        <v>0</v>
      </c>
      <c r="G137" s="451">
        <f>'Cost analysis'!G138</f>
        <v>0</v>
      </c>
      <c r="H137" s="451">
        <f>'Cost analysis'!H138</f>
        <v>0</v>
      </c>
      <c r="I137" s="451">
        <f>'Cost analysis'!I138</f>
        <v>0</v>
      </c>
      <c r="J137" s="451">
        <f>'Cost analysis'!J138</f>
        <v>0</v>
      </c>
      <c r="K137" s="451">
        <f>'Cost analysis'!K138</f>
        <v>0</v>
      </c>
      <c r="L137" s="451">
        <f>'Cost analysis'!L138</f>
        <v>0</v>
      </c>
      <c r="M137" s="451">
        <f>'Cost analysis'!M138</f>
        <v>0</v>
      </c>
      <c r="N137" s="451">
        <f>'Cost analysis'!N138</f>
        <v>0</v>
      </c>
      <c r="O137" s="451">
        <f>'Cost analysis'!O138</f>
        <v>0</v>
      </c>
      <c r="P137" s="451">
        <f>'Cost analysis'!P138</f>
        <v>0</v>
      </c>
      <c r="Q137" s="451">
        <f>'Cost analysis'!Q138</f>
        <v>0</v>
      </c>
      <c r="R137" s="451">
        <f>'Cost analysis'!R138</f>
        <v>0</v>
      </c>
      <c r="S137" s="451">
        <f>'Cost analysis'!S138</f>
        <v>0</v>
      </c>
      <c r="T137" s="451">
        <f>'Cost analysis'!T138</f>
        <v>0</v>
      </c>
      <c r="U137" s="452">
        <f>'Cost analysis'!U138</f>
        <v>0</v>
      </c>
    </row>
    <row r="138" spans="1:22" s="29" customFormat="1" ht="19.899999999999999" customHeight="1" x14ac:dyDescent="0.2">
      <c r="A138" s="61"/>
      <c r="B138" s="62"/>
      <c r="C138" s="404"/>
      <c r="D138" s="450" t="s">
        <v>449</v>
      </c>
      <c r="E138" s="483"/>
      <c r="F138" s="451">
        <f>'Cost analysis'!F99+'Cost analysis'!F137</f>
        <v>275833.33333333331</v>
      </c>
      <c r="G138" s="451">
        <f>'Cost analysis'!G99+'Cost analysis'!G137</f>
        <v>275833.33333333331</v>
      </c>
      <c r="H138" s="451">
        <f>'Cost analysis'!H99+'Cost analysis'!H137</f>
        <v>275833.33333333331</v>
      </c>
      <c r="I138" s="451">
        <f>'Cost analysis'!I99+'Cost analysis'!I137</f>
        <v>275833.33333333331</v>
      </c>
      <c r="J138" s="451">
        <f>'Cost analysis'!J99+'Cost analysis'!J137</f>
        <v>275833.33333333331</v>
      </c>
      <c r="K138" s="451">
        <f>'Cost analysis'!K99+'Cost analysis'!K137</f>
        <v>275833.33333333331</v>
      </c>
      <c r="L138" s="451">
        <f>'Cost analysis'!L99+'Cost analysis'!L137</f>
        <v>275833.33333333331</v>
      </c>
      <c r="M138" s="451">
        <f>'Cost analysis'!M99+'Cost analysis'!M137</f>
        <v>275833.33333333331</v>
      </c>
      <c r="N138" s="451">
        <f>'Cost analysis'!N99+'Cost analysis'!N137</f>
        <v>275833.33333333331</v>
      </c>
      <c r="O138" s="451">
        <f>'Cost analysis'!O99+'Cost analysis'!O137</f>
        <v>275833.33333333331</v>
      </c>
      <c r="P138" s="451">
        <f>'Cost analysis'!P99+'Cost analysis'!P137</f>
        <v>275833.33333333331</v>
      </c>
      <c r="Q138" s="451">
        <f>'Cost analysis'!Q99+'Cost analysis'!Q137</f>
        <v>275833.33333333331</v>
      </c>
      <c r="R138" s="451">
        <f>'Cost analysis'!R99+'Cost analysis'!R137</f>
        <v>275833.33333333331</v>
      </c>
      <c r="S138" s="451">
        <f>'Cost analysis'!S99+'Cost analysis'!S137</f>
        <v>275833.33333333331</v>
      </c>
      <c r="T138" s="451">
        <f>'Cost analysis'!T99+'Cost analysis'!T137</f>
        <v>275833.33333333331</v>
      </c>
      <c r="U138" s="452">
        <f>'Cost analysis'!U99+'Cost analysis'!U137</f>
        <v>275833.33333333331</v>
      </c>
    </row>
    <row r="139" spans="1:22" s="29" customFormat="1" ht="19.899999999999999" customHeight="1" x14ac:dyDescent="0.2">
      <c r="A139" s="61"/>
      <c r="B139" s="62"/>
      <c r="C139" s="404"/>
      <c r="D139" s="450" t="s">
        <v>451</v>
      </c>
      <c r="E139" s="682"/>
      <c r="F139" s="451">
        <f>'Cost analysis'!F102</f>
        <v>12500</v>
      </c>
      <c r="G139" s="451">
        <f>'Cost analysis'!G102</f>
        <v>12500</v>
      </c>
      <c r="H139" s="451">
        <f>'Cost analysis'!H102</f>
        <v>12500</v>
      </c>
      <c r="I139" s="451">
        <f>'Cost analysis'!I102</f>
        <v>12500</v>
      </c>
      <c r="J139" s="451">
        <f>'Cost analysis'!J102</f>
        <v>12500</v>
      </c>
      <c r="K139" s="451">
        <f>'Cost analysis'!K102</f>
        <v>12500</v>
      </c>
      <c r="L139" s="451">
        <f>'Cost analysis'!L102</f>
        <v>12500</v>
      </c>
      <c r="M139" s="451">
        <f>'Cost analysis'!M102</f>
        <v>12500</v>
      </c>
      <c r="N139" s="451">
        <f>'Cost analysis'!N102</f>
        <v>12500</v>
      </c>
      <c r="O139" s="451">
        <f>'Cost analysis'!O102</f>
        <v>12500</v>
      </c>
      <c r="P139" s="451">
        <f>'Cost analysis'!P102</f>
        <v>12500</v>
      </c>
      <c r="Q139" s="451">
        <f>'Cost analysis'!Q102</f>
        <v>12500</v>
      </c>
      <c r="R139" s="451">
        <f>'Cost analysis'!R102</f>
        <v>12500</v>
      </c>
      <c r="S139" s="451">
        <f>'Cost analysis'!S102</f>
        <v>12500</v>
      </c>
      <c r="T139" s="451">
        <f>'Cost analysis'!T102</f>
        <v>12500</v>
      </c>
      <c r="U139" s="452">
        <f>'Cost analysis'!U102</f>
        <v>12500</v>
      </c>
    </row>
    <row r="140" spans="1:22" s="29" customFormat="1" ht="19.899999999999999" customHeight="1" x14ac:dyDescent="0.2">
      <c r="A140" s="61"/>
      <c r="B140" s="62"/>
      <c r="C140" s="404"/>
      <c r="D140" s="450" t="str">
        <f>'Cost analysis'!D105</f>
        <v xml:space="preserve"> Fuel costs [EUR]</v>
      </c>
      <c r="E140" s="483"/>
      <c r="F140" s="451">
        <f>'Cost analysis'!F105</f>
        <v>0</v>
      </c>
      <c r="G140" s="451">
        <f>'Cost analysis'!G105</f>
        <v>0</v>
      </c>
      <c r="H140" s="451">
        <f>'Cost analysis'!H105</f>
        <v>0</v>
      </c>
      <c r="I140" s="451">
        <f>'Cost analysis'!I105</f>
        <v>0</v>
      </c>
      <c r="J140" s="451">
        <f>'Cost analysis'!J105</f>
        <v>0</v>
      </c>
      <c r="K140" s="451">
        <f>'Cost analysis'!K105</f>
        <v>0</v>
      </c>
      <c r="L140" s="451">
        <f>'Cost analysis'!L105</f>
        <v>0</v>
      </c>
      <c r="M140" s="451">
        <f>'Cost analysis'!M105</f>
        <v>0</v>
      </c>
      <c r="N140" s="451">
        <f>'Cost analysis'!N105</f>
        <v>0</v>
      </c>
      <c r="O140" s="451">
        <f>'Cost analysis'!O105</f>
        <v>0</v>
      </c>
      <c r="P140" s="451">
        <f>'Cost analysis'!P105</f>
        <v>0</v>
      </c>
      <c r="Q140" s="451">
        <f>'Cost analysis'!Q105</f>
        <v>0</v>
      </c>
      <c r="R140" s="451">
        <f>'Cost analysis'!R105</f>
        <v>0</v>
      </c>
      <c r="S140" s="451">
        <f>'Cost analysis'!S105</f>
        <v>0</v>
      </c>
      <c r="T140" s="451">
        <f>'Cost analysis'!T105</f>
        <v>0</v>
      </c>
      <c r="U140" s="452">
        <f>'Cost analysis'!U105</f>
        <v>0</v>
      </c>
    </row>
    <row r="141" spans="1:22" s="29" customFormat="1" ht="19.899999999999999" customHeight="1" x14ac:dyDescent="0.2">
      <c r="A141" s="61"/>
      <c r="B141" s="62"/>
      <c r="C141" s="404"/>
      <c r="D141" s="450" t="s">
        <v>448</v>
      </c>
      <c r="E141" s="483"/>
      <c r="F141" s="451">
        <f>'Cost analysis'!F123-'Cost analysis'!F137</f>
        <v>0</v>
      </c>
      <c r="G141" s="451">
        <f>'Cost analysis'!G123-'Cost analysis'!G137</f>
        <v>0</v>
      </c>
      <c r="H141" s="451">
        <f>'Cost analysis'!H123-'Cost analysis'!H137</f>
        <v>0</v>
      </c>
      <c r="I141" s="451">
        <f>'Cost analysis'!I123-'Cost analysis'!I137</f>
        <v>0</v>
      </c>
      <c r="J141" s="451">
        <f>'Cost analysis'!J123-'Cost analysis'!J137</f>
        <v>0</v>
      </c>
      <c r="K141" s="451">
        <f>'Cost analysis'!K123-'Cost analysis'!K137</f>
        <v>0</v>
      </c>
      <c r="L141" s="451">
        <f>'Cost analysis'!L123-'Cost analysis'!L137</f>
        <v>0</v>
      </c>
      <c r="M141" s="451">
        <f>'Cost analysis'!M123-'Cost analysis'!M137</f>
        <v>0</v>
      </c>
      <c r="N141" s="451">
        <f>'Cost analysis'!N123-'Cost analysis'!N137</f>
        <v>0</v>
      </c>
      <c r="O141" s="451">
        <f>'Cost analysis'!O123-'Cost analysis'!O137</f>
        <v>0</v>
      </c>
      <c r="P141" s="451">
        <f>'Cost analysis'!P123-'Cost analysis'!P137</f>
        <v>0</v>
      </c>
      <c r="Q141" s="451">
        <f>'Cost analysis'!Q123-'Cost analysis'!Q137</f>
        <v>0</v>
      </c>
      <c r="R141" s="451">
        <f>'Cost analysis'!R123-'Cost analysis'!R137</f>
        <v>0</v>
      </c>
      <c r="S141" s="451">
        <f>'Cost analysis'!S123-'Cost analysis'!S137</f>
        <v>0</v>
      </c>
      <c r="T141" s="451">
        <f>'Cost analysis'!T123-'Cost analysis'!T137</f>
        <v>0</v>
      </c>
      <c r="U141" s="452">
        <f>'Cost analysis'!U123-'Cost analysis'!U137</f>
        <v>0</v>
      </c>
    </row>
    <row r="142" spans="1:22" s="29" customFormat="1" ht="19.899999999999999" customHeight="1" thickBot="1" x14ac:dyDescent="0.25">
      <c r="A142" s="61"/>
      <c r="B142" s="62"/>
      <c r="C142" s="404"/>
      <c r="D142" s="683" t="s">
        <v>447</v>
      </c>
      <c r="E142" s="483"/>
      <c r="F142" s="451">
        <f>'Cost analysis'!F87</f>
        <v>0</v>
      </c>
      <c r="G142" s="451">
        <f>'Cost analysis'!G87</f>
        <v>0</v>
      </c>
      <c r="H142" s="451">
        <f>'Cost analysis'!H87</f>
        <v>0</v>
      </c>
      <c r="I142" s="451">
        <f>'Cost analysis'!I87</f>
        <v>0</v>
      </c>
      <c r="J142" s="451">
        <f>'Cost analysis'!J87</f>
        <v>0</v>
      </c>
      <c r="K142" s="451">
        <f>'Cost analysis'!K87</f>
        <v>0</v>
      </c>
      <c r="L142" s="451">
        <f>'Cost analysis'!L87</f>
        <v>0</v>
      </c>
      <c r="M142" s="451">
        <f>'Cost analysis'!M87</f>
        <v>0</v>
      </c>
      <c r="N142" s="451">
        <f>'Cost analysis'!N87</f>
        <v>0</v>
      </c>
      <c r="O142" s="451">
        <f>'Cost analysis'!O87</f>
        <v>0</v>
      </c>
      <c r="P142" s="451">
        <f>'Cost analysis'!P87</f>
        <v>0</v>
      </c>
      <c r="Q142" s="451">
        <f>'Cost analysis'!Q87</f>
        <v>0</v>
      </c>
      <c r="R142" s="451">
        <f>'Cost analysis'!R87</f>
        <v>0</v>
      </c>
      <c r="S142" s="451">
        <f>'Cost analysis'!S87</f>
        <v>0</v>
      </c>
      <c r="T142" s="451">
        <f>'Cost analysis'!T87</f>
        <v>0</v>
      </c>
      <c r="U142" s="452">
        <f>'Cost analysis'!U87</f>
        <v>0</v>
      </c>
    </row>
    <row r="143" spans="1:22" ht="19.899999999999999" hidden="1" customHeight="1" x14ac:dyDescent="0.25">
      <c r="D143" s="450" t="str">
        <f>'Cost analysis'!D155</f>
        <v xml:space="preserve"> Insurance costs [EUR]</v>
      </c>
      <c r="E143" s="483"/>
      <c r="F143" s="451">
        <f>'Cost analysis'!F155</f>
        <v>0</v>
      </c>
      <c r="G143" s="451">
        <f>'Cost analysis'!G155</f>
        <v>0</v>
      </c>
      <c r="H143" s="451">
        <f>'Cost analysis'!H155</f>
        <v>0</v>
      </c>
      <c r="I143" s="451">
        <f>'Cost analysis'!I155</f>
        <v>0</v>
      </c>
      <c r="J143" s="451">
        <f>'Cost analysis'!J155</f>
        <v>0</v>
      </c>
      <c r="K143" s="451">
        <f>'Cost analysis'!K155</f>
        <v>0</v>
      </c>
      <c r="L143" s="451">
        <f>'Cost analysis'!L155</f>
        <v>0</v>
      </c>
      <c r="M143" s="451">
        <f>'Cost analysis'!M155</f>
        <v>0</v>
      </c>
      <c r="N143" s="451">
        <f>'Cost analysis'!N155</f>
        <v>0</v>
      </c>
      <c r="O143" s="451">
        <f>'Cost analysis'!O155</f>
        <v>0</v>
      </c>
      <c r="P143" s="451">
        <f>'Cost analysis'!P155</f>
        <v>0</v>
      </c>
      <c r="Q143" s="451">
        <f>'Cost analysis'!Q155</f>
        <v>0</v>
      </c>
      <c r="R143" s="451">
        <f>'Cost analysis'!R155</f>
        <v>0</v>
      </c>
      <c r="S143" s="451">
        <f>'Cost analysis'!S155</f>
        <v>0</v>
      </c>
      <c r="T143" s="451">
        <f>'Cost analysis'!T155</f>
        <v>0</v>
      </c>
      <c r="U143" s="452">
        <f>'Cost analysis'!U155</f>
        <v>0</v>
      </c>
    </row>
    <row r="144" spans="1:22" ht="19.899999999999999" hidden="1" customHeight="1" thickBot="1" x14ac:dyDescent="0.3">
      <c r="D144" s="453" t="s">
        <v>301</v>
      </c>
      <c r="E144" s="484"/>
      <c r="F144" s="454">
        <f>'Cost analysis'!F158</f>
        <v>0</v>
      </c>
      <c r="G144" s="454">
        <f>'Cost analysis'!G158</f>
        <v>0</v>
      </c>
      <c r="H144" s="454">
        <f>'Cost analysis'!H158</f>
        <v>0</v>
      </c>
      <c r="I144" s="454">
        <f>'Cost analysis'!I158</f>
        <v>0</v>
      </c>
      <c r="J144" s="454">
        <f>'Cost analysis'!J158</f>
        <v>0</v>
      </c>
      <c r="K144" s="454">
        <f>'Cost analysis'!K158</f>
        <v>0</v>
      </c>
      <c r="L144" s="454">
        <f>'Cost analysis'!L158</f>
        <v>0</v>
      </c>
      <c r="M144" s="454">
        <f>'Cost analysis'!M158</f>
        <v>0</v>
      </c>
      <c r="N144" s="454">
        <f>'Cost analysis'!N158</f>
        <v>0</v>
      </c>
      <c r="O144" s="454">
        <f>'Cost analysis'!O158</f>
        <v>0</v>
      </c>
      <c r="P144" s="454">
        <f>'Cost analysis'!P158</f>
        <v>0</v>
      </c>
      <c r="Q144" s="454">
        <f>'Cost analysis'!Q158</f>
        <v>0</v>
      </c>
      <c r="R144" s="454">
        <f>'Cost analysis'!R158</f>
        <v>0</v>
      </c>
      <c r="S144" s="454">
        <f>'Cost analysis'!S158</f>
        <v>0</v>
      </c>
      <c r="T144" s="454">
        <f>'Cost analysis'!T158</f>
        <v>0</v>
      </c>
      <c r="U144" s="455">
        <f>'Cost analysis'!U158</f>
        <v>0</v>
      </c>
    </row>
    <row r="145" spans="4:21" ht="30" customHeight="1" thickBot="1" x14ac:dyDescent="0.25">
      <c r="D145" s="456" t="s">
        <v>316</v>
      </c>
      <c r="E145" s="485"/>
      <c r="F145" s="684">
        <f>'Cost analysis'!F84</f>
        <v>410265.9027081423</v>
      </c>
      <c r="G145" s="684">
        <f>'Cost analysis'!G84</f>
        <v>410265.9027081423</v>
      </c>
      <c r="H145" s="684">
        <f>'Cost analysis'!H84</f>
        <v>410265.9027081423</v>
      </c>
      <c r="I145" s="684">
        <f>'Cost analysis'!I84</f>
        <v>410265.9027081423</v>
      </c>
      <c r="J145" s="684">
        <f>'Cost analysis'!J84</f>
        <v>410265.9027081423</v>
      </c>
      <c r="K145" s="684">
        <f>'Cost analysis'!K84</f>
        <v>410265.9027081423</v>
      </c>
      <c r="L145" s="684">
        <f>'Cost analysis'!L84</f>
        <v>410265.9027081423</v>
      </c>
      <c r="M145" s="684">
        <f>'Cost analysis'!M84</f>
        <v>410265.9027081423</v>
      </c>
      <c r="N145" s="684">
        <f>'Cost analysis'!N84</f>
        <v>410265.9027081423</v>
      </c>
      <c r="O145" s="684">
        <f>'Cost analysis'!O84</f>
        <v>410265.9027081423</v>
      </c>
      <c r="P145" s="684">
        <f>'Cost analysis'!P84</f>
        <v>410265.9027081423</v>
      </c>
      <c r="Q145" s="684">
        <f>'Cost analysis'!Q84</f>
        <v>410265.9027081423</v>
      </c>
      <c r="R145" s="684">
        <f>'Cost analysis'!R84</f>
        <v>410265.9027081423</v>
      </c>
      <c r="S145" s="684">
        <f>'Cost analysis'!S84</f>
        <v>410265.9027081423</v>
      </c>
      <c r="T145" s="684">
        <f>'Cost analysis'!T84</f>
        <v>410265.9027081423</v>
      </c>
      <c r="U145" s="685">
        <f>'Cost analysis'!U84</f>
        <v>410265.9027081423</v>
      </c>
    </row>
    <row r="146" spans="4:21" ht="30" hidden="1" customHeight="1" thickBot="1" x14ac:dyDescent="0.3">
      <c r="D146" s="456" t="s">
        <v>315</v>
      </c>
      <c r="E146" s="485"/>
      <c r="F146" s="684">
        <f>'Cost analysis'!F165</f>
        <v>0</v>
      </c>
      <c r="G146" s="684">
        <f>'Cost analysis'!G165</f>
        <v>0</v>
      </c>
      <c r="H146" s="684">
        <f>'Cost analysis'!H165</f>
        <v>0</v>
      </c>
      <c r="I146" s="684">
        <f>'Cost analysis'!I165</f>
        <v>0</v>
      </c>
      <c r="J146" s="684">
        <f>'Cost analysis'!J165</f>
        <v>0</v>
      </c>
      <c r="K146" s="684">
        <f>'Cost analysis'!K165</f>
        <v>0</v>
      </c>
      <c r="L146" s="684">
        <f>'Cost analysis'!L165</f>
        <v>0</v>
      </c>
      <c r="M146" s="684">
        <f>'Cost analysis'!M165</f>
        <v>0</v>
      </c>
      <c r="N146" s="684">
        <f>'Cost analysis'!N165</f>
        <v>0</v>
      </c>
      <c r="O146" s="684">
        <f>'Cost analysis'!O165</f>
        <v>0</v>
      </c>
      <c r="P146" s="684">
        <f>'Cost analysis'!P165</f>
        <v>0</v>
      </c>
      <c r="Q146" s="684">
        <f>'Cost analysis'!Q165</f>
        <v>0</v>
      </c>
      <c r="R146" s="684">
        <f>'Cost analysis'!R165</f>
        <v>0</v>
      </c>
      <c r="S146" s="684">
        <f>'Cost analysis'!S165</f>
        <v>0</v>
      </c>
      <c r="T146" s="684">
        <f>'Cost analysis'!T165</f>
        <v>0</v>
      </c>
      <c r="U146" s="685">
        <f>'Cost analysis'!U165</f>
        <v>0</v>
      </c>
    </row>
    <row r="147" spans="4:21" ht="40.15" customHeight="1" thickBot="1" x14ac:dyDescent="0.25">
      <c r="F147" s="28"/>
      <c r="G147" s="28"/>
      <c r="K147" s="28"/>
      <c r="L147" s="28"/>
      <c r="M147" s="28"/>
      <c r="N147" s="28"/>
    </row>
    <row r="148" spans="4:21" ht="40.15" customHeight="1" thickBot="1" x14ac:dyDescent="0.25">
      <c r="D148" s="810" t="s">
        <v>399</v>
      </c>
      <c r="E148" s="811"/>
      <c r="F148" s="811"/>
      <c r="G148" s="812"/>
      <c r="H148" s="477"/>
      <c r="I148" s="549" t="str">
        <f>IF(Input!E14="No","EMISSION ANALYSIS ONLY APPLICABLE IN CASE OF ON-SITE PRODUCTION","")</f>
        <v>EMISSION ANALYSIS ONLY APPLICABLE IN CASE OF ON-SITE PRODUCTION</v>
      </c>
    </row>
    <row r="149" spans="4:21" ht="25.15" customHeight="1" x14ac:dyDescent="0.2">
      <c r="D149" s="563" t="s">
        <v>295</v>
      </c>
      <c r="E149" s="487"/>
      <c r="F149" s="794" t="str">
        <f>IF(Input!$E$14="Yes",IF(SUM('Environmental analysis'!F66:U66)/1000&lt;0,0,SUM('Environmental analysis'!F66:U66)/1000)," - ")</f>
        <v xml:space="preserve"> - </v>
      </c>
      <c r="G149" s="795"/>
    </row>
    <row r="150" spans="4:21" ht="25.15" customHeight="1" x14ac:dyDescent="0.2">
      <c r="D150" s="564" t="s">
        <v>296</v>
      </c>
      <c r="E150" s="488"/>
      <c r="F150" s="796" t="str">
        <f>IF(Input!$E$14="Yes",IF(SUM('Environmental analysis'!F67:U67)&lt;0,0,SUM('Environmental analysis'!F67:U67))," - ")</f>
        <v xml:space="preserve"> - </v>
      </c>
      <c r="G150" s="797"/>
    </row>
    <row r="151" spans="4:21" ht="25.15" customHeight="1" thickBot="1" x14ac:dyDescent="0.25">
      <c r="D151" s="565" t="s">
        <v>297</v>
      </c>
      <c r="E151" s="489"/>
      <c r="F151" s="798" t="str">
        <f>IF(Input!$E$14="Yes",SUM('Environmental analysis'!F70:U70)," - ")</f>
        <v xml:space="preserve"> - </v>
      </c>
      <c r="G151" s="799"/>
    </row>
    <row r="152" spans="4:21" x14ac:dyDescent="0.2"/>
    <row r="153" spans="4:21" ht="25.15" hidden="1" customHeight="1" thickBot="1" x14ac:dyDescent="0.3">
      <c r="D153" s="566" t="s">
        <v>300</v>
      </c>
      <c r="E153" s="490"/>
      <c r="F153" s="792">
        <f>SUM('Environmental analysis'!F73:U73)</f>
        <v>0</v>
      </c>
      <c r="G153" s="793"/>
    </row>
    <row r="154" spans="4:21" ht="13.15" hidden="1" x14ac:dyDescent="0.25"/>
    <row r="155" spans="4:21" x14ac:dyDescent="0.2"/>
    <row r="156" spans="4:21" ht="13.15" hidden="1" customHeight="1" x14ac:dyDescent="0.25"/>
    <row r="157" spans="4:21" ht="13.15" hidden="1" customHeight="1" x14ac:dyDescent="0.25"/>
    <row r="158" spans="4:21" x14ac:dyDescent="0.2"/>
    <row r="159" spans="4:21" x14ac:dyDescent="0.2"/>
    <row r="160" spans="4:21" x14ac:dyDescent="0.2"/>
  </sheetData>
  <sheetProtection password="C6B3" sheet="1" objects="1" scenarios="1" selectLockedCells="1" selectUnlockedCells="1"/>
  <mergeCells count="15">
    <mergeCell ref="R119:U120"/>
    <mergeCell ref="F119:I120"/>
    <mergeCell ref="J119:M120"/>
    <mergeCell ref="N119:Q120"/>
    <mergeCell ref="D148:G148"/>
    <mergeCell ref="D134:E134"/>
    <mergeCell ref="D119:E121"/>
    <mergeCell ref="F6:N6"/>
    <mergeCell ref="F36:N36"/>
    <mergeCell ref="D72:L72"/>
    <mergeCell ref="D97:L97"/>
    <mergeCell ref="F153:G153"/>
    <mergeCell ref="F149:G149"/>
    <mergeCell ref="F150:G150"/>
    <mergeCell ref="F151:G151"/>
  </mergeCells>
  <pageMargins left="0.7" right="0.7" top="0.75" bottom="0.75" header="0.3" footer="0.3"/>
  <pageSetup paperSize="9" scale="55" fitToHeight="0" orientation="landscape" r:id="rId1"/>
  <rowBreaks count="2" manualBreakCount="2">
    <brk id="68" max="21" man="1"/>
    <brk id="117"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B163"/>
  <sheetViews>
    <sheetView showGridLines="0" showRowColHeaders="0" zoomScale="70" zoomScaleNormal="70" zoomScaleSheetLayoutView="40" workbookViewId="0">
      <selection activeCell="I35" sqref="I35"/>
    </sheetView>
  </sheetViews>
  <sheetFormatPr defaultColWidth="0" defaultRowHeight="13.15" customHeight="1" zeroHeight="1" x14ac:dyDescent="0.2"/>
  <cols>
    <col min="1" max="1" width="1.140625" style="4" customWidth="1"/>
    <col min="2" max="2" width="1.140625" style="15" customWidth="1"/>
    <col min="3" max="3" width="3.28515625" style="67" customWidth="1"/>
    <col min="4" max="4" width="74.5703125" style="9" customWidth="1"/>
    <col min="5" max="6" width="11.7109375" style="9" customWidth="1"/>
    <col min="7" max="8" width="12.7109375" style="9" customWidth="1"/>
    <col min="9" max="20" width="11.42578125" style="9" customWidth="1"/>
    <col min="21" max="21" width="11.7109375" style="9" customWidth="1"/>
    <col min="22" max="22" width="2.42578125" style="9" customWidth="1"/>
    <col min="23" max="54" width="0" style="9" hidden="1" customWidth="1"/>
    <col min="55" max="16384" width="8.85546875" style="9" hidden="1"/>
  </cols>
  <sheetData>
    <row r="1" spans="1:54" s="4" customFormat="1" ht="6" customHeight="1" thickBot="1" x14ac:dyDescent="0.3">
      <c r="B1" s="15"/>
    </row>
    <row r="2" spans="1:54" s="14" customFormat="1" ht="6" customHeight="1" thickTop="1" x14ac:dyDescent="0.25">
      <c r="B2" s="16"/>
    </row>
    <row r="3" spans="1:54" ht="40.15" customHeight="1" x14ac:dyDescent="0.25">
      <c r="C3" s="60"/>
      <c r="D3" s="675"/>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row>
    <row r="4" spans="1:54" ht="49.9" customHeight="1" thickBot="1" x14ac:dyDescent="0.3">
      <c r="D4" s="720" t="s">
        <v>415</v>
      </c>
      <c r="E4" s="720"/>
      <c r="F4" s="720"/>
      <c r="G4" s="720"/>
      <c r="H4" s="720"/>
      <c r="I4" s="29"/>
      <c r="J4" s="715"/>
      <c r="K4" s="716"/>
      <c r="L4" s="716"/>
      <c r="M4" s="716"/>
      <c r="N4" s="716"/>
      <c r="O4" s="716"/>
      <c r="P4" s="716"/>
      <c r="Q4" s="716"/>
      <c r="R4" s="716"/>
      <c r="S4" s="29"/>
      <c r="T4" s="29"/>
      <c r="U4" s="650"/>
    </row>
    <row r="5" spans="1:54" ht="30" customHeight="1" x14ac:dyDescent="0.25">
      <c r="D5" s="672" t="s">
        <v>396</v>
      </c>
      <c r="E5" s="424">
        <v>2015</v>
      </c>
      <c r="F5" s="424">
        <f t="shared" ref="F5:T5" si="0">E5+1</f>
        <v>2016</v>
      </c>
      <c r="G5" s="424">
        <f t="shared" si="0"/>
        <v>2017</v>
      </c>
      <c r="H5" s="424">
        <f t="shared" si="0"/>
        <v>2018</v>
      </c>
      <c r="I5" s="424">
        <f t="shared" si="0"/>
        <v>2019</v>
      </c>
      <c r="J5" s="424">
        <f t="shared" si="0"/>
        <v>2020</v>
      </c>
      <c r="K5" s="424">
        <f t="shared" si="0"/>
        <v>2021</v>
      </c>
      <c r="L5" s="424">
        <f t="shared" si="0"/>
        <v>2022</v>
      </c>
      <c r="M5" s="424">
        <f t="shared" si="0"/>
        <v>2023</v>
      </c>
      <c r="N5" s="424">
        <f t="shared" si="0"/>
        <v>2024</v>
      </c>
      <c r="O5" s="424">
        <f t="shared" si="0"/>
        <v>2025</v>
      </c>
      <c r="P5" s="424">
        <f t="shared" si="0"/>
        <v>2026</v>
      </c>
      <c r="Q5" s="424">
        <f t="shared" si="0"/>
        <v>2027</v>
      </c>
      <c r="R5" s="424">
        <f t="shared" si="0"/>
        <v>2028</v>
      </c>
      <c r="S5" s="424">
        <f t="shared" si="0"/>
        <v>2029</v>
      </c>
      <c r="T5" s="425">
        <f t="shared" si="0"/>
        <v>2030</v>
      </c>
    </row>
    <row r="6" spans="1:54" ht="25.15" customHeight="1" x14ac:dyDescent="0.25">
      <c r="D6" s="420" t="s">
        <v>397</v>
      </c>
      <c r="E6" s="660">
        <v>0.82</v>
      </c>
      <c r="F6" s="660">
        <v>0.83</v>
      </c>
      <c r="G6" s="660">
        <v>0.84</v>
      </c>
      <c r="H6" s="660">
        <v>0.85</v>
      </c>
      <c r="I6" s="660">
        <v>0.86</v>
      </c>
      <c r="J6" s="660">
        <v>0.87</v>
      </c>
      <c r="K6" s="660">
        <v>0.88100000000000001</v>
      </c>
      <c r="L6" s="660">
        <v>0.89200000000000002</v>
      </c>
      <c r="M6" s="660">
        <v>0.90300000000000002</v>
      </c>
      <c r="N6" s="660">
        <v>0.91400000000000003</v>
      </c>
      <c r="O6" s="660">
        <v>0.92500000000000004</v>
      </c>
      <c r="P6" s="660">
        <v>0.93</v>
      </c>
      <c r="Q6" s="660">
        <v>0.93500000000000005</v>
      </c>
      <c r="R6" s="660">
        <v>0.94000000000000006</v>
      </c>
      <c r="S6" s="660">
        <v>0.94500000000000006</v>
      </c>
      <c r="T6" s="661">
        <v>0.95</v>
      </c>
      <c r="U6" s="7"/>
    </row>
    <row r="7" spans="1:54" ht="25.15" customHeight="1" thickBot="1" x14ac:dyDescent="0.3">
      <c r="D7" s="76" t="s">
        <v>416</v>
      </c>
      <c r="E7" s="662">
        <v>15</v>
      </c>
      <c r="F7" s="662">
        <v>14.4</v>
      </c>
      <c r="G7" s="662">
        <v>13.8</v>
      </c>
      <c r="H7" s="662">
        <v>13.200000000000001</v>
      </c>
      <c r="I7" s="662">
        <v>12.600000000000001</v>
      </c>
      <c r="J7" s="662">
        <v>12</v>
      </c>
      <c r="K7" s="662">
        <v>11.4</v>
      </c>
      <c r="L7" s="662">
        <v>10.8</v>
      </c>
      <c r="M7" s="662">
        <v>10.200000000000001</v>
      </c>
      <c r="N7" s="662">
        <v>9.6000000000000014</v>
      </c>
      <c r="O7" s="662">
        <v>9</v>
      </c>
      <c r="P7" s="662">
        <v>8.6</v>
      </c>
      <c r="Q7" s="662">
        <v>8.1999999999999993</v>
      </c>
      <c r="R7" s="662">
        <v>7.7999999999999989</v>
      </c>
      <c r="S7" s="662">
        <v>7.3999999999999986</v>
      </c>
      <c r="T7" s="663">
        <v>7</v>
      </c>
      <c r="U7" s="7"/>
    </row>
    <row r="8" spans="1:54" ht="9.6" customHeight="1" thickBot="1" x14ac:dyDescent="0.3">
      <c r="D8" s="8"/>
      <c r="E8" s="664"/>
      <c r="F8" s="7"/>
      <c r="G8" s="7"/>
      <c r="H8" s="7"/>
      <c r="I8" s="7"/>
      <c r="J8" s="7"/>
      <c r="K8" s="7"/>
      <c r="L8" s="7"/>
      <c r="M8" s="7"/>
      <c r="N8" s="7"/>
      <c r="O8" s="7"/>
      <c r="P8" s="7"/>
      <c r="Q8" s="7"/>
      <c r="R8" s="7"/>
      <c r="S8" s="7"/>
      <c r="T8" s="7"/>
      <c r="U8" s="7"/>
    </row>
    <row r="9" spans="1:54" ht="30" customHeight="1" x14ac:dyDescent="0.25">
      <c r="D9" s="672" t="s">
        <v>419</v>
      </c>
      <c r="E9" s="424">
        <v>2015</v>
      </c>
      <c r="F9" s="424">
        <f t="shared" ref="F9" si="1">E9+1</f>
        <v>2016</v>
      </c>
      <c r="G9" s="424">
        <f t="shared" ref="G9" si="2">F9+1</f>
        <v>2017</v>
      </c>
      <c r="H9" s="424">
        <f t="shared" ref="H9" si="3">G9+1</f>
        <v>2018</v>
      </c>
      <c r="I9" s="424">
        <f t="shared" ref="I9" si="4">H9+1</f>
        <v>2019</v>
      </c>
      <c r="J9" s="424">
        <f t="shared" ref="J9" si="5">I9+1</f>
        <v>2020</v>
      </c>
      <c r="K9" s="424">
        <f t="shared" ref="K9" si="6">J9+1</f>
        <v>2021</v>
      </c>
      <c r="L9" s="424">
        <f t="shared" ref="L9" si="7">K9+1</f>
        <v>2022</v>
      </c>
      <c r="M9" s="424">
        <f t="shared" ref="M9" si="8">L9+1</f>
        <v>2023</v>
      </c>
      <c r="N9" s="424">
        <f t="shared" ref="N9" si="9">M9+1</f>
        <v>2024</v>
      </c>
      <c r="O9" s="424">
        <f t="shared" ref="O9" si="10">N9+1</f>
        <v>2025</v>
      </c>
      <c r="P9" s="424">
        <f t="shared" ref="P9" si="11">O9+1</f>
        <v>2026</v>
      </c>
      <c r="Q9" s="424">
        <f t="shared" ref="Q9" si="12">P9+1</f>
        <v>2027</v>
      </c>
      <c r="R9" s="424">
        <f t="shared" ref="R9" si="13">Q9+1</f>
        <v>2028</v>
      </c>
      <c r="S9" s="424">
        <f t="shared" ref="S9" si="14">R9+1</f>
        <v>2029</v>
      </c>
      <c r="T9" s="425">
        <f t="shared" ref="T9" si="15">S9+1</f>
        <v>2030</v>
      </c>
    </row>
    <row r="10" spans="1:54" ht="25.15" customHeight="1" thickBot="1" x14ac:dyDescent="0.3">
      <c r="D10" s="431" t="str">
        <f>IF(Input!$G$12="Yes","   Expected annual distance traveled - including replacement diesel bus [km]","   Expected annual distance traveled")</f>
        <v xml:space="preserve">   Expected annual distance traveled - including replacement diesel bus [km]</v>
      </c>
      <c r="E10" s="665">
        <f>IF(Input!$G$12="Yes",68000,'Cost analysis'!F114)</f>
        <v>68000</v>
      </c>
      <c r="F10" s="665">
        <f>IF(Input!$G$12="Yes",68000,'Cost analysis'!G114)</f>
        <v>68000</v>
      </c>
      <c r="G10" s="665">
        <f>IF(Input!$G$12="Yes",68000,'Cost analysis'!H114)</f>
        <v>68000</v>
      </c>
      <c r="H10" s="665">
        <f>IF(Input!$G$12="Yes",68000,'Cost analysis'!I114)</f>
        <v>68000</v>
      </c>
      <c r="I10" s="665">
        <f>IF(Input!$G$12="Yes",68000,'Cost analysis'!J114)</f>
        <v>68000</v>
      </c>
      <c r="J10" s="665">
        <f>IF(Input!$G$12="Yes",68000,'Cost analysis'!K114)</f>
        <v>68000</v>
      </c>
      <c r="K10" s="665">
        <f>IF(Input!$G$12="Yes",68000,'Cost analysis'!L114)</f>
        <v>68000</v>
      </c>
      <c r="L10" s="665">
        <f>IF(Input!$G$12="Yes",68000,'Cost analysis'!M114)</f>
        <v>68000</v>
      </c>
      <c r="M10" s="665">
        <f>IF(Input!$G$12="Yes",68000,'Cost analysis'!N114)</f>
        <v>68000</v>
      </c>
      <c r="N10" s="665">
        <f>IF(Input!$G$12="Yes",68000,'Cost analysis'!O114)</f>
        <v>68000</v>
      </c>
      <c r="O10" s="665">
        <f>IF(Input!$G$12="Yes",68000,'Cost analysis'!P114)</f>
        <v>68000</v>
      </c>
      <c r="P10" s="665">
        <f>IF(Input!$G$12="Yes",68000,'Cost analysis'!Q114)</f>
        <v>68000</v>
      </c>
      <c r="Q10" s="665">
        <f>IF(Input!$G$12="Yes",68000,'Cost analysis'!R114)</f>
        <v>68000</v>
      </c>
      <c r="R10" s="665">
        <f>IF(Input!$G$12="Yes",68000,'Cost analysis'!S114)</f>
        <v>68000</v>
      </c>
      <c r="S10" s="665">
        <f>IF(Input!$G$12="Yes",68000,'Cost analysis'!T114)</f>
        <v>68000</v>
      </c>
      <c r="T10" s="666">
        <f>IF(Input!$G$12="Yes",68000,'Cost analysis'!U114)</f>
        <v>68000</v>
      </c>
      <c r="U10" s="7"/>
    </row>
    <row r="11" spans="1:54" ht="10.15" customHeight="1" thickBot="1" x14ac:dyDescent="0.3">
      <c r="D11" s="8"/>
      <c r="E11" s="664"/>
      <c r="F11" s="7"/>
      <c r="G11" s="7"/>
      <c r="H11" s="7"/>
      <c r="I11" s="7"/>
      <c r="J11" s="7"/>
      <c r="K11" s="7"/>
      <c r="L11" s="7"/>
      <c r="M11" s="7"/>
      <c r="N11" s="7"/>
      <c r="O11" s="7"/>
      <c r="P11" s="7"/>
      <c r="Q11" s="7"/>
      <c r="R11" s="7"/>
      <c r="S11" s="7"/>
      <c r="T11" s="7"/>
      <c r="U11" s="7"/>
    </row>
    <row r="12" spans="1:54" ht="30" customHeight="1" thickBot="1" x14ac:dyDescent="0.3">
      <c r="D12" s="729" t="s">
        <v>417</v>
      </c>
      <c r="E12" s="730"/>
      <c r="F12" s="731"/>
      <c r="G12" s="108"/>
      <c r="H12" s="108"/>
      <c r="I12" s="108"/>
      <c r="J12" s="108"/>
      <c r="K12" s="108"/>
      <c r="L12" s="108"/>
      <c r="M12" s="108"/>
      <c r="N12" s="108"/>
      <c r="O12" s="108"/>
      <c r="P12" s="108"/>
      <c r="Q12" s="108"/>
      <c r="R12" s="108"/>
      <c r="S12" s="108"/>
      <c r="T12" s="108"/>
      <c r="U12" s="7"/>
    </row>
    <row r="13" spans="1:54" s="29" customFormat="1" ht="25.15" customHeight="1" x14ac:dyDescent="0.25">
      <c r="A13" s="61"/>
      <c r="B13" s="62"/>
      <c r="C13" s="69"/>
      <c r="D13" s="420" t="s">
        <v>245</v>
      </c>
      <c r="E13" s="736">
        <v>12</v>
      </c>
      <c r="F13" s="737"/>
      <c r="G13" s="108"/>
      <c r="H13" s="108"/>
      <c r="I13" s="108"/>
      <c r="J13" s="108"/>
      <c r="K13" s="108"/>
      <c r="L13" s="108"/>
      <c r="M13" s="108"/>
      <c r="N13" s="108"/>
      <c r="O13" s="108"/>
      <c r="P13" s="108"/>
      <c r="Q13" s="108"/>
      <c r="R13" s="108"/>
      <c r="S13" s="108"/>
      <c r="T13" s="108"/>
      <c r="U13" s="108"/>
    </row>
    <row r="14" spans="1:54" ht="25.15" customHeight="1" thickBot="1" x14ac:dyDescent="0.3">
      <c r="D14" s="76" t="s">
        <v>246</v>
      </c>
      <c r="E14" s="738">
        <v>20</v>
      </c>
      <c r="F14" s="739"/>
      <c r="G14" s="108"/>
      <c r="H14" s="108"/>
      <c r="I14" s="108"/>
      <c r="J14" s="108"/>
      <c r="K14" s="108"/>
      <c r="L14" s="108"/>
      <c r="M14" s="108"/>
      <c r="N14" s="108"/>
      <c r="O14" s="108"/>
      <c r="P14" s="108"/>
      <c r="Q14" s="108"/>
      <c r="R14" s="108"/>
      <c r="S14" s="108"/>
      <c r="T14" s="108"/>
      <c r="U14" s="7"/>
    </row>
    <row r="15" spans="1:54" ht="10.15" customHeight="1" thickBot="1" x14ac:dyDescent="0.3">
      <c r="D15" s="29"/>
      <c r="E15" s="29"/>
      <c r="F15" s="29"/>
      <c r="G15" s="29"/>
      <c r="H15" s="29"/>
      <c r="I15" s="29"/>
      <c r="J15" s="29"/>
      <c r="K15" s="29"/>
      <c r="L15" s="29"/>
      <c r="M15" s="29"/>
      <c r="N15" s="29"/>
      <c r="O15" s="29"/>
      <c r="P15" s="29"/>
      <c r="Q15" s="29"/>
      <c r="R15" s="29"/>
      <c r="S15" s="29"/>
      <c r="T15" s="29"/>
    </row>
    <row r="16" spans="1:54" ht="30" customHeight="1" x14ac:dyDescent="0.2">
      <c r="D16" s="672" t="s">
        <v>441</v>
      </c>
      <c r="E16" s="424">
        <v>2015</v>
      </c>
      <c r="F16" s="424">
        <v>2020</v>
      </c>
      <c r="G16" s="424">
        <v>2025</v>
      </c>
      <c r="H16" s="425">
        <v>2030</v>
      </c>
    </row>
    <row r="17" spans="4:26" ht="25.15" customHeight="1" x14ac:dyDescent="0.2">
      <c r="D17" s="420" t="s">
        <v>323</v>
      </c>
      <c r="E17" s="412">
        <f>'Price evolution'!K36</f>
        <v>110</v>
      </c>
      <c r="F17" s="412">
        <f>'Price evolution'!L36</f>
        <v>115.61110551099999</v>
      </c>
      <c r="G17" s="412">
        <f>'Price evolution'!M36</f>
        <v>121.50843379523252</v>
      </c>
      <c r="H17" s="673">
        <f>'Price evolution'!N36</f>
        <v>127.70658509069983</v>
      </c>
    </row>
    <row r="18" spans="4:26" ht="25.15" customHeight="1" thickBot="1" x14ac:dyDescent="0.25">
      <c r="D18" s="76" t="s">
        <v>322</v>
      </c>
      <c r="E18" s="383">
        <f>'Price evolution'!K37</f>
        <v>42</v>
      </c>
      <c r="F18" s="383">
        <f>'Price evolution'!L37</f>
        <v>44.142422104199994</v>
      </c>
      <c r="G18" s="383">
        <f>'Price evolution'!M37</f>
        <v>46.3941292672706</v>
      </c>
      <c r="H18" s="674">
        <f>'Price evolution'!N37</f>
        <v>48.760696125539937</v>
      </c>
    </row>
    <row r="19" spans="4:26" ht="10.15" customHeight="1" thickBot="1" x14ac:dyDescent="0.25"/>
    <row r="20" spans="4:26" ht="25.15" customHeight="1" x14ac:dyDescent="0.2">
      <c r="D20" s="672" t="s">
        <v>421</v>
      </c>
      <c r="E20" s="424" t="s">
        <v>427</v>
      </c>
      <c r="F20" s="424" t="s">
        <v>428</v>
      </c>
      <c r="G20" s="424" t="s">
        <v>429</v>
      </c>
      <c r="H20" s="425" t="s">
        <v>430</v>
      </c>
    </row>
    <row r="21" spans="4:26" ht="25.15" customHeight="1" x14ac:dyDescent="0.2">
      <c r="D21" s="420" t="s">
        <v>420</v>
      </c>
      <c r="E21" s="412" t="s">
        <v>424</v>
      </c>
      <c r="F21" s="677" t="s">
        <v>425</v>
      </c>
      <c r="G21" s="412" t="s">
        <v>426</v>
      </c>
      <c r="H21" s="673" t="s">
        <v>426</v>
      </c>
    </row>
    <row r="22" spans="4:26" ht="25.15" customHeight="1" thickBot="1" x14ac:dyDescent="0.25">
      <c r="D22" s="76" t="s">
        <v>422</v>
      </c>
      <c r="E22" s="820" t="s">
        <v>32</v>
      </c>
      <c r="F22" s="822"/>
      <c r="G22" s="820" t="s">
        <v>423</v>
      </c>
      <c r="H22" s="821"/>
    </row>
    <row r="23" spans="4:26" ht="22.15" customHeight="1" x14ac:dyDescent="0.2">
      <c r="D23" s="363"/>
    </row>
    <row r="24" spans="4:26" ht="51.6" customHeight="1" thickBot="1" x14ac:dyDescent="0.25">
      <c r="D24" s="720" t="s">
        <v>418</v>
      </c>
      <c r="E24" s="720"/>
      <c r="F24" s="720"/>
    </row>
    <row r="25" spans="4:26" ht="30" customHeight="1" thickBot="1" x14ac:dyDescent="0.25">
      <c r="D25" s="729" t="s">
        <v>442</v>
      </c>
      <c r="E25" s="730"/>
      <c r="F25" s="731"/>
    </row>
    <row r="26" spans="4:26" ht="25.15" customHeight="1" x14ac:dyDescent="0.2">
      <c r="D26" s="75" t="s">
        <v>356</v>
      </c>
      <c r="E26" s="823">
        <v>231500</v>
      </c>
      <c r="F26" s="824"/>
    </row>
    <row r="27" spans="4:26" ht="25.15" customHeight="1" x14ac:dyDescent="0.2">
      <c r="D27" s="83" t="s">
        <v>367</v>
      </c>
      <c r="E27" s="825">
        <v>3.5000000000000001E-3</v>
      </c>
      <c r="F27" s="826"/>
      <c r="Z27" s="78"/>
    </row>
    <row r="28" spans="4:26" ht="25.15" customHeight="1" x14ac:dyDescent="0.2">
      <c r="D28" s="83" t="s">
        <v>357</v>
      </c>
      <c r="E28" s="748">
        <v>331700</v>
      </c>
      <c r="F28" s="749"/>
      <c r="Z28" s="78"/>
    </row>
    <row r="29" spans="4:26" ht="25.15" customHeight="1" x14ac:dyDescent="0.2">
      <c r="D29" s="83" t="s">
        <v>368</v>
      </c>
      <c r="E29" s="825">
        <v>8.9999999999999993E-3</v>
      </c>
      <c r="F29" s="826"/>
    </row>
    <row r="30" spans="4:26" ht="25.15" customHeight="1" x14ac:dyDescent="0.2">
      <c r="D30" s="83" t="s">
        <v>334</v>
      </c>
      <c r="E30" s="829">
        <v>40</v>
      </c>
      <c r="F30" s="830"/>
    </row>
    <row r="31" spans="4:26" ht="25.15" customHeight="1" x14ac:dyDescent="0.2">
      <c r="D31" s="83" t="s">
        <v>298</v>
      </c>
      <c r="E31" s="829">
        <v>50</v>
      </c>
      <c r="F31" s="830"/>
    </row>
    <row r="32" spans="4:26" ht="25.15" customHeight="1" x14ac:dyDescent="0.2">
      <c r="D32" s="83" t="s">
        <v>369</v>
      </c>
      <c r="E32" s="750">
        <v>7.0487607657527818E-3</v>
      </c>
      <c r="F32" s="751"/>
    </row>
    <row r="33" spans="4:6" ht="25.15" hidden="1" customHeight="1" x14ac:dyDescent="0.25">
      <c r="D33" s="83" t="s">
        <v>358</v>
      </c>
      <c r="E33" s="831">
        <v>1</v>
      </c>
      <c r="F33" s="832"/>
    </row>
    <row r="34" spans="4:6" ht="25.15" hidden="1" customHeight="1" x14ac:dyDescent="0.25">
      <c r="D34" s="133" t="s">
        <v>383</v>
      </c>
      <c r="E34" s="750">
        <v>0.03</v>
      </c>
      <c r="F34" s="751"/>
    </row>
    <row r="35" spans="4:6" ht="25.15" customHeight="1" x14ac:dyDescent="0.2">
      <c r="D35" s="133" t="s">
        <v>359</v>
      </c>
      <c r="E35" s="831">
        <v>0.26</v>
      </c>
      <c r="F35" s="832"/>
    </row>
    <row r="36" spans="4:6" ht="25.15" customHeight="1" x14ac:dyDescent="0.2">
      <c r="D36" s="133" t="s">
        <v>360</v>
      </c>
      <c r="E36" s="831">
        <v>0.39</v>
      </c>
      <c r="F36" s="832"/>
    </row>
    <row r="37" spans="4:6" ht="25.15" customHeight="1" x14ac:dyDescent="0.2">
      <c r="D37" s="133" t="s">
        <v>370</v>
      </c>
      <c r="E37" s="750">
        <v>0.01</v>
      </c>
      <c r="F37" s="751"/>
    </row>
    <row r="38" spans="4:6" ht="25.15" customHeight="1" x14ac:dyDescent="0.2">
      <c r="D38" s="133" t="s">
        <v>267</v>
      </c>
      <c r="E38" s="829">
        <v>5</v>
      </c>
      <c r="F38" s="830"/>
    </row>
    <row r="39" spans="4:6" ht="25.15" customHeight="1" x14ac:dyDescent="0.2">
      <c r="D39" s="133" t="s">
        <v>318</v>
      </c>
      <c r="E39" s="827">
        <v>0.98</v>
      </c>
      <c r="F39" s="828"/>
    </row>
    <row r="40" spans="4:6" ht="25.15" customHeight="1" thickBot="1" x14ac:dyDescent="0.25">
      <c r="D40" s="76" t="s">
        <v>265</v>
      </c>
      <c r="E40" s="744">
        <v>68000</v>
      </c>
      <c r="F40" s="745"/>
    </row>
    <row r="41" spans="4:6" ht="7.9" customHeight="1" thickBot="1" x14ac:dyDescent="0.25">
      <c r="D41" s="7"/>
      <c r="E41" s="7"/>
      <c r="F41" s="7"/>
    </row>
    <row r="42" spans="4:6" ht="19.899999999999999" customHeight="1" thickBot="1" x14ac:dyDescent="0.25">
      <c r="D42" s="729" t="s">
        <v>443</v>
      </c>
      <c r="E42" s="730"/>
      <c r="F42" s="731"/>
    </row>
    <row r="43" spans="4:6" ht="25.15" customHeight="1" x14ac:dyDescent="0.2">
      <c r="D43" s="75" t="s">
        <v>266</v>
      </c>
      <c r="E43" s="746">
        <v>345000</v>
      </c>
      <c r="F43" s="747"/>
    </row>
    <row r="44" spans="4:6" ht="25.15" customHeight="1" x14ac:dyDescent="0.2">
      <c r="D44" s="133" t="s">
        <v>319</v>
      </c>
      <c r="E44" s="748">
        <v>128000</v>
      </c>
      <c r="F44" s="749"/>
    </row>
    <row r="45" spans="4:6" ht="25.15" customHeight="1" x14ac:dyDescent="0.2">
      <c r="D45" s="133" t="s">
        <v>371</v>
      </c>
      <c r="E45" s="750">
        <v>1.2E-2</v>
      </c>
      <c r="F45" s="751"/>
    </row>
    <row r="46" spans="4:6" ht="25.15" customHeight="1" thickBot="1" x14ac:dyDescent="0.25">
      <c r="D46" s="76" t="s">
        <v>361</v>
      </c>
      <c r="E46" s="772">
        <v>100</v>
      </c>
      <c r="F46" s="773"/>
    </row>
    <row r="47" spans="4:6" ht="25.15" customHeight="1" x14ac:dyDescent="0.2"/>
    <row r="48" spans="4:6" ht="13.15" customHeight="1" x14ac:dyDescent="0.2"/>
    <row r="49" spans="10:14" ht="13.15" customHeight="1" x14ac:dyDescent="0.2"/>
    <row r="50" spans="10:14" ht="13.15" customHeight="1" x14ac:dyDescent="0.2"/>
    <row r="51" spans="10:14" ht="13.15" customHeight="1" x14ac:dyDescent="0.2"/>
    <row r="52" spans="10:14" ht="25.15" customHeight="1" x14ac:dyDescent="0.2"/>
    <row r="53" spans="10:14" ht="25.15" customHeight="1" x14ac:dyDescent="0.2"/>
    <row r="54" spans="10:14" ht="25.15" customHeight="1" x14ac:dyDescent="0.2"/>
    <row r="55" spans="10:14" ht="25.15" customHeight="1" x14ac:dyDescent="0.2"/>
    <row r="56" spans="10:14" ht="25.15" customHeight="1" x14ac:dyDescent="0.2"/>
    <row r="57" spans="10:14" ht="12.75" x14ac:dyDescent="0.2">
      <c r="J57" s="370"/>
      <c r="K57" s="370"/>
      <c r="L57" s="370"/>
      <c r="M57" s="370"/>
      <c r="N57" s="369"/>
    </row>
    <row r="58" spans="10:14" hidden="1" x14ac:dyDescent="0.25">
      <c r="J58" s="369"/>
      <c r="K58" s="369"/>
      <c r="L58" s="369"/>
      <c r="M58" s="369"/>
      <c r="N58" s="369"/>
    </row>
    <row r="59" spans="10:14" hidden="1" x14ac:dyDescent="0.25"/>
    <row r="60" spans="10:14" ht="13.15" hidden="1" customHeight="1" x14ac:dyDescent="0.25"/>
    <row r="61" spans="10:14" ht="13.15" hidden="1" customHeight="1" x14ac:dyDescent="0.25"/>
    <row r="62" spans="10:14" ht="13.15" hidden="1" customHeight="1" x14ac:dyDescent="0.25"/>
    <row r="63" spans="10:14" ht="13.15" hidden="1" customHeight="1" x14ac:dyDescent="0.25"/>
    <row r="64" spans="10:14" ht="13.15" hidden="1" customHeight="1" x14ac:dyDescent="0.25"/>
    <row r="65" ht="13.15" hidden="1" customHeight="1" x14ac:dyDescent="0.25"/>
    <row r="66" ht="13.15" hidden="1" customHeight="1" x14ac:dyDescent="0.25"/>
    <row r="67" ht="13.15" hidden="1" customHeight="1" x14ac:dyDescent="0.25"/>
    <row r="68" ht="13.15" hidden="1" customHeight="1" x14ac:dyDescent="0.25"/>
    <row r="69" ht="13.15" hidden="1" customHeight="1" x14ac:dyDescent="0.25"/>
    <row r="70" ht="13.15" hidden="1" customHeight="1" x14ac:dyDescent="0.25"/>
    <row r="71" ht="13.15" hidden="1" customHeight="1" x14ac:dyDescent="0.25"/>
    <row r="72" ht="13.15" hidden="1" customHeight="1" x14ac:dyDescent="0.25"/>
    <row r="73" ht="13.15" hidden="1" customHeight="1" x14ac:dyDescent="0.25"/>
    <row r="74" ht="13.15" hidden="1" customHeight="1" x14ac:dyDescent="0.25"/>
    <row r="75" ht="13.15" hidden="1" customHeight="1" x14ac:dyDescent="0.25"/>
    <row r="76" ht="13.15" hidden="1" customHeight="1" x14ac:dyDescent="0.25"/>
    <row r="77" ht="13.15" hidden="1" customHeight="1" x14ac:dyDescent="0.25"/>
    <row r="78" ht="13.15" hidden="1" customHeight="1" x14ac:dyDescent="0.25"/>
    <row r="79" ht="13.15" hidden="1" customHeight="1" x14ac:dyDescent="0.25"/>
    <row r="80" ht="13.15" hidden="1" customHeight="1" x14ac:dyDescent="0.25"/>
    <row r="81" ht="13.15" hidden="1" customHeight="1" x14ac:dyDescent="0.25"/>
    <row r="82" ht="13.15" hidden="1" customHeight="1" x14ac:dyDescent="0.25"/>
    <row r="83" ht="13.15" hidden="1" customHeight="1" x14ac:dyDescent="0.25"/>
    <row r="84" ht="13.15" hidden="1" customHeight="1" x14ac:dyDescent="0.25"/>
    <row r="85" ht="13.15" hidden="1" customHeight="1" x14ac:dyDescent="0.25"/>
    <row r="86" ht="13.15" hidden="1" customHeight="1" x14ac:dyDescent="0.25"/>
    <row r="87" ht="13.15" hidden="1" customHeight="1" x14ac:dyDescent="0.25"/>
    <row r="88" ht="13.15" hidden="1" customHeight="1" x14ac:dyDescent="0.25"/>
    <row r="89" ht="13.15" hidden="1" customHeight="1" x14ac:dyDescent="0.25"/>
    <row r="90" ht="13.15" hidden="1" customHeight="1" x14ac:dyDescent="0.25"/>
    <row r="91" ht="13.15" hidden="1" customHeight="1" x14ac:dyDescent="0.25"/>
    <row r="92" ht="13.15" hidden="1" customHeight="1" x14ac:dyDescent="0.25"/>
    <row r="93" ht="13.15" hidden="1" customHeight="1" x14ac:dyDescent="0.25"/>
    <row r="94" ht="13.15" hidden="1" customHeight="1" x14ac:dyDescent="0.25"/>
    <row r="95" ht="13.15" hidden="1" customHeight="1" x14ac:dyDescent="0.25"/>
    <row r="96" ht="13.15" hidden="1" customHeight="1" x14ac:dyDescent="0.25"/>
    <row r="97" ht="13.15" hidden="1" customHeight="1" x14ac:dyDescent="0.25"/>
    <row r="98" ht="13.15" hidden="1" customHeight="1" x14ac:dyDescent="0.25"/>
    <row r="99" ht="13.15" hidden="1" customHeight="1" x14ac:dyDescent="0.25"/>
    <row r="100" ht="13.15" hidden="1" customHeight="1" x14ac:dyDescent="0.25"/>
    <row r="101" ht="13.15" hidden="1" customHeight="1" x14ac:dyDescent="0.25"/>
    <row r="102" ht="13.15" hidden="1" customHeight="1" x14ac:dyDescent="0.25"/>
    <row r="103" ht="13.15" hidden="1" customHeight="1" x14ac:dyDescent="0.25"/>
    <row r="104" ht="13.15" hidden="1" customHeight="1" x14ac:dyDescent="0.25"/>
    <row r="105" ht="13.15" hidden="1" customHeight="1" x14ac:dyDescent="0.25"/>
    <row r="106" ht="13.15" hidden="1" customHeight="1" x14ac:dyDescent="0.25"/>
    <row r="107" ht="13.15" hidden="1" customHeight="1" x14ac:dyDescent="0.25"/>
    <row r="108" ht="13.15" hidden="1" customHeight="1" x14ac:dyDescent="0.25"/>
    <row r="109" ht="13.15" hidden="1" customHeight="1" x14ac:dyDescent="0.25"/>
    <row r="110" ht="13.15" hidden="1" customHeight="1" x14ac:dyDescent="0.25"/>
    <row r="111" ht="13.15" hidden="1" customHeight="1" x14ac:dyDescent="0.25"/>
    <row r="112" ht="13.15" hidden="1" customHeight="1" x14ac:dyDescent="0.25"/>
    <row r="113" ht="13.15" hidden="1" customHeight="1" x14ac:dyDescent="0.25"/>
    <row r="114" ht="13.15" hidden="1" customHeight="1" x14ac:dyDescent="0.25"/>
    <row r="115" ht="13.15" hidden="1" customHeight="1" x14ac:dyDescent="0.25"/>
    <row r="116" ht="13.15" hidden="1" customHeight="1" x14ac:dyDescent="0.25"/>
    <row r="117" ht="13.15" hidden="1" customHeight="1" x14ac:dyDescent="0.25"/>
    <row r="118" ht="13.15" hidden="1" customHeight="1" x14ac:dyDescent="0.25"/>
    <row r="119" ht="13.15" hidden="1" customHeight="1" x14ac:dyDescent="0.25"/>
    <row r="120" ht="13.15" hidden="1" customHeight="1" x14ac:dyDescent="0.25"/>
    <row r="121" ht="13.15" hidden="1" customHeight="1" x14ac:dyDescent="0.25"/>
    <row r="122" ht="13.15" hidden="1" customHeight="1" x14ac:dyDescent="0.25"/>
    <row r="123" ht="13.15" hidden="1" customHeight="1" x14ac:dyDescent="0.25"/>
    <row r="124" ht="13.15" hidden="1" customHeight="1" x14ac:dyDescent="0.25"/>
    <row r="125" ht="13.15" hidden="1" customHeight="1" x14ac:dyDescent="0.25"/>
    <row r="126" ht="13.15" hidden="1" customHeight="1" x14ac:dyDescent="0.25"/>
    <row r="127" ht="13.15" hidden="1" customHeight="1" x14ac:dyDescent="0.25"/>
    <row r="128" ht="13.15" hidden="1" customHeight="1" x14ac:dyDescent="0.25"/>
    <row r="129" ht="13.15" hidden="1" customHeight="1" x14ac:dyDescent="0.25"/>
    <row r="130" ht="13.15" hidden="1" customHeight="1" x14ac:dyDescent="0.25"/>
    <row r="131" ht="13.15" hidden="1" customHeight="1" x14ac:dyDescent="0.25"/>
    <row r="132" ht="13.15" hidden="1" customHeight="1" x14ac:dyDescent="0.25"/>
    <row r="133" ht="13.15" hidden="1" customHeight="1" x14ac:dyDescent="0.25"/>
    <row r="134" ht="13.15" hidden="1" customHeight="1" x14ac:dyDescent="0.25"/>
    <row r="135" ht="13.15" hidden="1" customHeight="1" x14ac:dyDescent="0.25"/>
    <row r="136" ht="13.15" hidden="1" customHeight="1" x14ac:dyDescent="0.25"/>
    <row r="137" ht="13.15" hidden="1" customHeight="1" x14ac:dyDescent="0.25"/>
    <row r="138" ht="13.15" hidden="1" customHeight="1" x14ac:dyDescent="0.25"/>
    <row r="139" ht="13.15" hidden="1" customHeight="1" x14ac:dyDescent="0.25"/>
    <row r="140" ht="13.15" hidden="1" customHeight="1" x14ac:dyDescent="0.25"/>
    <row r="141" ht="13.15" hidden="1" customHeight="1" x14ac:dyDescent="0.25"/>
    <row r="142" ht="13.15" hidden="1" customHeight="1" x14ac:dyDescent="0.25"/>
    <row r="143" ht="13.15" hidden="1" customHeight="1" x14ac:dyDescent="0.25"/>
    <row r="144" ht="13.15" hidden="1" customHeight="1" x14ac:dyDescent="0.25"/>
    <row r="145" ht="13.15" hidden="1" customHeight="1" x14ac:dyDescent="0.25"/>
    <row r="146" ht="13.15" hidden="1" customHeight="1" x14ac:dyDescent="0.25"/>
    <row r="147" ht="13.15" hidden="1" customHeight="1" x14ac:dyDescent="0.25"/>
    <row r="148" ht="13.15" hidden="1" customHeight="1" x14ac:dyDescent="0.25"/>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sheetData>
  <sheetProtection password="C6B3" sheet="1" objects="1" scenarios="1" selectLockedCells="1" selectUnlockedCells="1"/>
  <mergeCells count="29">
    <mergeCell ref="E46:F46"/>
    <mergeCell ref="E38:F38"/>
    <mergeCell ref="D42:F42"/>
    <mergeCell ref="E43:F43"/>
    <mergeCell ref="E44:F44"/>
    <mergeCell ref="E45:F45"/>
    <mergeCell ref="D24:F24"/>
    <mergeCell ref="D25:F25"/>
    <mergeCell ref="E26:F26"/>
    <mergeCell ref="E27:F27"/>
    <mergeCell ref="E40:F40"/>
    <mergeCell ref="E39:F39"/>
    <mergeCell ref="E28:F28"/>
    <mergeCell ref="E29:F29"/>
    <mergeCell ref="E30:F30"/>
    <mergeCell ref="E31:F31"/>
    <mergeCell ref="E32:F32"/>
    <mergeCell ref="E33:F33"/>
    <mergeCell ref="E34:F34"/>
    <mergeCell ref="E35:F35"/>
    <mergeCell ref="E36:F36"/>
    <mergeCell ref="E37:F37"/>
    <mergeCell ref="G22:H22"/>
    <mergeCell ref="E22:F22"/>
    <mergeCell ref="J4:R4"/>
    <mergeCell ref="D12:F12"/>
    <mergeCell ref="E13:F13"/>
    <mergeCell ref="E14:F14"/>
    <mergeCell ref="D4:H4"/>
  </mergeCells>
  <dataValidations count="2">
    <dataValidation allowBlank="1" sqref="E27:F40"/>
    <dataValidation allowBlank="1" showErrorMessage="1" sqref="E26:F26"/>
  </dataValidations>
  <pageMargins left="0.7" right="0.7" top="0.75" bottom="0.75" header="0.3" footer="0.3"/>
  <pageSetup paperSize="9" scale="30" fitToHeight="0" orientation="landscape" r:id="rId1"/>
  <rowBreaks count="2" manualBreakCount="2">
    <brk id="2" max="21" man="1"/>
    <brk id="23"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249977111117893"/>
  </sheetPr>
  <dimension ref="A1:V244"/>
  <sheetViews>
    <sheetView showGridLines="0" zoomScale="55" zoomScaleNormal="55" zoomScaleSheetLayoutView="70" workbookViewId="0">
      <selection activeCell="F86" sqref="F86:U86"/>
    </sheetView>
  </sheetViews>
  <sheetFormatPr defaultColWidth="9.140625" defaultRowHeight="0" customHeight="1" zeroHeight="1" x14ac:dyDescent="0.2"/>
  <cols>
    <col min="1" max="1" width="1.28515625" style="11" customWidth="1"/>
    <col min="2" max="2" width="1.28515625" style="5" customWidth="1"/>
    <col min="3" max="3" width="3.140625" style="519" customWidth="1"/>
    <col min="4" max="4" width="67.42578125" style="7" customWidth="1"/>
    <col min="5" max="5" width="14.7109375" style="7" customWidth="1"/>
    <col min="6" max="21" width="16.7109375" style="7" customWidth="1"/>
    <col min="22" max="22" width="14.42578125" bestFit="1" customWidth="1"/>
  </cols>
  <sheetData>
    <row r="1" spans="1:21" ht="6.75" customHeight="1" thickBot="1" x14ac:dyDescent="0.3">
      <c r="B1" s="6"/>
      <c r="C1" s="6"/>
      <c r="D1" s="6"/>
      <c r="E1" s="6"/>
      <c r="F1" s="6"/>
      <c r="G1" s="6"/>
      <c r="H1" s="6"/>
      <c r="I1" s="6"/>
      <c r="J1" s="6"/>
      <c r="K1" s="6"/>
      <c r="L1" s="6"/>
      <c r="M1" s="6"/>
      <c r="N1" s="6"/>
      <c r="O1" s="6"/>
      <c r="P1" s="6"/>
      <c r="Q1" s="6"/>
      <c r="R1" s="6"/>
      <c r="S1" s="6"/>
      <c r="T1" s="6"/>
      <c r="U1" s="6"/>
    </row>
    <row r="2" spans="1:21" ht="6.75" customHeight="1" thickTop="1" x14ac:dyDescent="0.25">
      <c r="A2" s="12"/>
      <c r="B2" s="13"/>
      <c r="C2" s="13"/>
      <c r="D2" s="13"/>
      <c r="E2" s="13"/>
      <c r="F2" s="13"/>
      <c r="G2" s="13"/>
      <c r="H2" s="13"/>
      <c r="I2" s="13"/>
      <c r="J2" s="13"/>
      <c r="K2" s="13"/>
      <c r="L2" s="13"/>
      <c r="M2" s="13"/>
      <c r="N2" s="13"/>
      <c r="O2" s="13"/>
      <c r="P2" s="13"/>
      <c r="Q2" s="13"/>
      <c r="R2" s="13"/>
      <c r="S2" s="13"/>
      <c r="T2" s="13"/>
      <c r="U2" s="13"/>
    </row>
    <row r="3" spans="1:21" ht="13.9" thickBot="1" x14ac:dyDescent="0.3">
      <c r="B3" s="6"/>
      <c r="C3" s="543"/>
      <c r="D3" s="543"/>
      <c r="E3" s="60"/>
      <c r="F3" s="60"/>
      <c r="G3" s="543"/>
      <c r="H3" s="543"/>
      <c r="I3" s="543"/>
      <c r="J3" s="543"/>
      <c r="K3" s="543"/>
      <c r="L3" s="543"/>
      <c r="M3" s="543"/>
      <c r="N3" s="543"/>
      <c r="O3" s="543"/>
      <c r="P3" s="543"/>
      <c r="Q3" s="543"/>
    </row>
    <row r="4" spans="1:21" s="29" customFormat="1" ht="28.9" customHeight="1" thickBot="1" x14ac:dyDescent="0.3">
      <c r="A4" s="23"/>
      <c r="B4" s="107"/>
      <c r="C4" s="538"/>
      <c r="D4" s="108"/>
      <c r="E4" s="471" t="s">
        <v>1</v>
      </c>
      <c r="F4" s="109" t="str">
        <f>Input!E18</f>
        <v>Niche</v>
      </c>
      <c r="J4" s="108"/>
      <c r="K4" s="108"/>
      <c r="L4" s="108"/>
      <c r="M4" s="108"/>
      <c r="N4" s="108"/>
      <c r="O4" s="108"/>
      <c r="P4" s="108"/>
      <c r="Q4" s="108"/>
      <c r="R4" s="108"/>
      <c r="S4" s="108"/>
      <c r="T4" s="108"/>
      <c r="U4" s="108"/>
    </row>
    <row r="5" spans="1:21" ht="16.899999999999999" customHeight="1" x14ac:dyDescent="0.25">
      <c r="B5" s="6"/>
      <c r="C5" s="520"/>
      <c r="E5" s="9"/>
      <c r="F5" s="9"/>
    </row>
    <row r="6" spans="1:21" ht="16.899999999999999" customHeight="1" x14ac:dyDescent="0.2">
      <c r="B6" s="6"/>
      <c r="C6" s="520"/>
      <c r="D6" s="835" t="s">
        <v>310</v>
      </c>
      <c r="E6" s="833" t="s">
        <v>2</v>
      </c>
      <c r="F6" s="833" t="s">
        <v>115</v>
      </c>
      <c r="G6"/>
      <c r="H6"/>
      <c r="I6" s="8"/>
      <c r="J6" s="8"/>
      <c r="K6" s="8"/>
      <c r="L6" s="8"/>
      <c r="M6" s="8"/>
      <c r="N6" s="8"/>
    </row>
    <row r="7" spans="1:21" s="9" customFormat="1" ht="16.899999999999999" customHeight="1" x14ac:dyDescent="0.2">
      <c r="A7" s="11"/>
      <c r="B7" s="6"/>
      <c r="C7" s="537"/>
      <c r="D7" s="835"/>
      <c r="E7" s="834"/>
      <c r="F7" s="834"/>
      <c r="G7"/>
      <c r="H7"/>
      <c r="I7" s="8"/>
      <c r="J7" s="8"/>
      <c r="K7" s="8"/>
      <c r="L7" s="8"/>
      <c r="M7" s="8"/>
      <c r="N7" s="8"/>
      <c r="O7" s="7"/>
      <c r="P7" s="7"/>
      <c r="Q7" s="7"/>
      <c r="R7" s="7"/>
      <c r="S7" s="7"/>
      <c r="T7" s="7"/>
      <c r="U7" s="7"/>
    </row>
    <row r="8" spans="1:21" ht="13.5" customHeight="1" thickBot="1" x14ac:dyDescent="0.3">
      <c r="B8" s="6"/>
      <c r="C8" s="525"/>
      <c r="D8" s="9"/>
      <c r="E8" s="9"/>
      <c r="F8" s="9"/>
      <c r="G8"/>
      <c r="H8"/>
      <c r="I8" s="21" t="s">
        <v>0</v>
      </c>
      <c r="J8" s="2"/>
      <c r="K8" s="2"/>
      <c r="L8" s="8"/>
      <c r="M8" s="2"/>
      <c r="N8" s="8"/>
      <c r="O8" s="9"/>
      <c r="P8" s="9"/>
      <c r="Q8" s="9"/>
      <c r="R8" s="9"/>
      <c r="S8" s="9"/>
      <c r="T8" s="9"/>
      <c r="U8" s="9"/>
    </row>
    <row r="9" spans="1:21" s="29" customFormat="1" ht="15" customHeight="1" x14ac:dyDescent="0.2">
      <c r="A9" s="23"/>
      <c r="B9" s="24"/>
      <c r="C9" s="519"/>
      <c r="D9" s="75" t="str">
        <f>Input!D46</f>
        <v xml:space="preserve">  Bus expected lifetime [# years]</v>
      </c>
      <c r="E9" s="81">
        <f>Input!E46</f>
        <v>12</v>
      </c>
      <c r="F9" s="836" t="s">
        <v>4</v>
      </c>
      <c r="G9"/>
      <c r="H9"/>
      <c r="I9" s="19"/>
      <c r="J9" s="19"/>
      <c r="K9" s="19"/>
      <c r="L9" s="19"/>
      <c r="M9" s="19"/>
      <c r="N9" s="19"/>
      <c r="O9" s="19"/>
      <c r="P9" s="19"/>
      <c r="Q9" s="19"/>
      <c r="R9" s="19"/>
      <c r="S9" s="19"/>
      <c r="T9" s="19"/>
      <c r="U9" s="19"/>
    </row>
    <row r="10" spans="1:21" s="29" customFormat="1" ht="15" customHeight="1" thickBot="1" x14ac:dyDescent="0.25">
      <c r="A10" s="23"/>
      <c r="B10" s="24"/>
      <c r="C10" s="519"/>
      <c r="D10" s="94" t="str">
        <f>Input!D47</f>
        <v xml:space="preserve">  Infrastructure expected lifetime [# years]</v>
      </c>
      <c r="E10" s="82">
        <f>Input!E47</f>
        <v>20</v>
      </c>
      <c r="F10" s="836"/>
      <c r="G10"/>
      <c r="H10"/>
      <c r="I10" s="19"/>
      <c r="J10" s="19"/>
      <c r="K10" s="19"/>
      <c r="L10" s="19"/>
      <c r="M10" s="19"/>
      <c r="N10" s="19"/>
      <c r="O10" s="19"/>
      <c r="P10" s="19"/>
      <c r="Q10" s="19"/>
      <c r="R10" s="19"/>
      <c r="S10" s="19"/>
      <c r="T10" s="19"/>
      <c r="U10" s="19"/>
    </row>
    <row r="11" spans="1:21" s="29" customFormat="1" ht="7.9" customHeight="1" thickBot="1" x14ac:dyDescent="0.3">
      <c r="A11" s="23"/>
      <c r="B11" s="24"/>
      <c r="C11" s="519"/>
      <c r="E11" s="118"/>
      <c r="F11" s="105"/>
      <c r="G11"/>
      <c r="H11"/>
      <c r="I11" s="19"/>
      <c r="J11" s="19"/>
      <c r="K11" s="19"/>
      <c r="L11" s="19"/>
      <c r="M11" s="19"/>
      <c r="N11" s="19"/>
      <c r="O11" s="19"/>
      <c r="P11" s="19"/>
      <c r="Q11" s="19"/>
      <c r="R11" s="19"/>
      <c r="S11" s="19"/>
      <c r="T11" s="19"/>
      <c r="U11" s="19"/>
    </row>
    <row r="12" spans="1:21" s="29" customFormat="1" ht="15" customHeight="1" x14ac:dyDescent="0.2">
      <c r="A12" s="23"/>
      <c r="B12" s="24"/>
      <c r="C12" s="519"/>
      <c r="D12" s="75" t="s">
        <v>248</v>
      </c>
      <c r="E12" s="110">
        <f>Input!$E$102/((365-Input!$E$100)*Input!$E$101)</f>
        <v>192.7437641723356</v>
      </c>
      <c r="F12" s="501" t="s">
        <v>5</v>
      </c>
      <c r="G12" s="560"/>
      <c r="H12" s="9"/>
      <c r="I12" s="53"/>
      <c r="J12" s="19"/>
      <c r="K12" s="53"/>
      <c r="L12" s="19"/>
      <c r="M12" s="19"/>
      <c r="N12" s="53"/>
      <c r="O12" s="19"/>
      <c r="P12" s="53"/>
      <c r="Q12" s="19"/>
      <c r="R12" s="19"/>
      <c r="S12" s="19"/>
      <c r="T12" s="19"/>
      <c r="U12" s="19"/>
    </row>
    <row r="13" spans="1:21" s="29" customFormat="1" ht="15" customHeight="1" x14ac:dyDescent="0.25">
      <c r="A13" s="23"/>
      <c r="B13" s="24"/>
      <c r="C13" s="519"/>
      <c r="D13" s="83" t="str">
        <f>Input!D63</f>
        <v xml:space="preserve">  Share of hydrogen from RES [%]</v>
      </c>
      <c r="E13" s="499">
        <f>Input!E63</f>
        <v>0</v>
      </c>
      <c r="F13" s="501"/>
      <c r="G13" s="9"/>
      <c r="H13" s="9"/>
      <c r="I13" s="53"/>
      <c r="J13" s="19"/>
      <c r="K13" s="53"/>
      <c r="L13" s="19"/>
      <c r="M13" s="19"/>
      <c r="N13" s="53"/>
      <c r="O13" s="19"/>
      <c r="P13" s="53"/>
      <c r="Q13" s="19"/>
      <c r="R13" s="19"/>
      <c r="S13" s="19"/>
      <c r="T13" s="19"/>
      <c r="U13" s="19"/>
    </row>
    <row r="14" spans="1:21" s="29" customFormat="1" ht="15" customHeight="1" thickBot="1" x14ac:dyDescent="0.3">
      <c r="A14" s="23"/>
      <c r="B14" s="24"/>
      <c r="C14" s="519"/>
      <c r="D14" s="76" t="str">
        <f>Input!D52</f>
        <v xml:space="preserve">  Additional fuel needed due to specific city characteristics [%]</v>
      </c>
      <c r="E14" s="302">
        <f>Input!E52</f>
        <v>0</v>
      </c>
      <c r="F14" s="501"/>
      <c r="G14" s="9"/>
      <c r="H14" s="9"/>
      <c r="I14" s="19"/>
      <c r="J14" s="19"/>
      <c r="K14" s="19"/>
      <c r="L14" s="19"/>
      <c r="M14" s="19"/>
      <c r="N14" s="19"/>
      <c r="O14" s="19"/>
      <c r="P14" s="19"/>
      <c r="Q14" s="19"/>
      <c r="R14" s="19"/>
      <c r="S14" s="19"/>
      <c r="T14" s="19"/>
      <c r="U14" s="19"/>
    </row>
    <row r="15" spans="1:21" s="29" customFormat="1" ht="7.9" customHeight="1" thickBot="1" x14ac:dyDescent="0.3">
      <c r="A15" s="23"/>
      <c r="B15" s="24"/>
      <c r="C15" s="519"/>
      <c r="E15" s="118"/>
      <c r="F15" s="105"/>
      <c r="G15"/>
      <c r="H15"/>
      <c r="I15" s="19"/>
      <c r="J15" s="19"/>
      <c r="K15" s="19"/>
      <c r="L15" s="19"/>
      <c r="M15" s="19"/>
      <c r="N15" s="19"/>
      <c r="O15" s="19"/>
      <c r="P15" s="19"/>
      <c r="Q15" s="19"/>
      <c r="R15" s="19"/>
      <c r="S15" s="19"/>
      <c r="T15" s="19"/>
      <c r="U15" s="19"/>
    </row>
    <row r="16" spans="1:21" s="29" customFormat="1" ht="15" customHeight="1" x14ac:dyDescent="0.2">
      <c r="A16" s="23"/>
      <c r="B16" s="24"/>
      <c r="C16" s="519"/>
      <c r="D16" s="84" t="str">
        <f>Input!D124</f>
        <v xml:space="preserve">  Daily time on route [hours]</v>
      </c>
      <c r="E16" s="87">
        <f>Input!E124</f>
        <v>18</v>
      </c>
      <c r="F16" s="838" t="s">
        <v>13</v>
      </c>
      <c r="G16" s="9"/>
      <c r="H16" s="9"/>
      <c r="I16" s="19"/>
      <c r="J16" s="19"/>
      <c r="K16" s="19"/>
      <c r="L16" s="19"/>
      <c r="M16" s="19"/>
      <c r="N16" s="19"/>
      <c r="O16" s="19"/>
      <c r="P16" s="19"/>
      <c r="Q16" s="19"/>
      <c r="R16" s="19"/>
      <c r="S16" s="19"/>
      <c r="T16" s="19"/>
      <c r="U16" s="19"/>
    </row>
    <row r="17" spans="1:22" s="9" customFormat="1" ht="15" customHeight="1" x14ac:dyDescent="0.2">
      <c r="A17" s="11"/>
      <c r="B17" s="5"/>
      <c r="C17" s="519"/>
      <c r="D17" s="83" t="str">
        <f>Input!D66</f>
        <v xml:space="preserve">  Labour costs (including replacement bus for downtime) in 2015 [EUR/ vehicle]</v>
      </c>
      <c r="E17" s="427">
        <f>Input!E66</f>
        <v>80000</v>
      </c>
      <c r="F17" s="838"/>
      <c r="G17"/>
      <c r="H17"/>
      <c r="V17" s="28"/>
    </row>
    <row r="18" spans="1:22" s="9" customFormat="1" ht="15" customHeight="1" x14ac:dyDescent="0.2">
      <c r="A18" s="11"/>
      <c r="B18" s="5"/>
      <c r="C18" s="519"/>
      <c r="D18" s="83" t="str">
        <f>Input!D67</f>
        <v xml:space="preserve">  Annual expected evolution of labour costs until 2030 [%]</v>
      </c>
      <c r="E18" s="428">
        <f>Input!E67</f>
        <v>0.02</v>
      </c>
      <c r="F18" s="838"/>
      <c r="G18"/>
      <c r="H18"/>
      <c r="V18" s="28"/>
    </row>
    <row r="19" spans="1:22" s="29" customFormat="1" ht="15" customHeight="1" x14ac:dyDescent="0.2">
      <c r="A19" s="23"/>
      <c r="B19" s="24"/>
      <c r="C19" s="519"/>
      <c r="D19" s="420" t="str">
        <f>Input!D68</f>
        <v xml:space="preserve">  Cleaning and servicing costs for 12 - 13.5 m bus in 2015 [EUR/ vehicle]</v>
      </c>
      <c r="E19" s="432">
        <f>Input!E68</f>
        <v>3500</v>
      </c>
      <c r="F19" s="838"/>
      <c r="G19" s="9"/>
      <c r="H19" s="9"/>
      <c r="I19" s="19"/>
      <c r="J19" s="19"/>
      <c r="K19" s="19"/>
      <c r="L19" s="19"/>
      <c r="M19" s="19"/>
      <c r="N19" s="19"/>
      <c r="O19" s="19"/>
      <c r="P19" s="19"/>
      <c r="Q19" s="19"/>
      <c r="R19" s="19"/>
      <c r="S19" s="19"/>
      <c r="T19" s="19"/>
      <c r="U19" s="19"/>
    </row>
    <row r="20" spans="1:22" s="29" customFormat="1" ht="15" customHeight="1" x14ac:dyDescent="0.2">
      <c r="A20" s="23"/>
      <c r="B20" s="24"/>
      <c r="C20" s="519"/>
      <c r="D20" s="83" t="str">
        <f>Input!D69</f>
        <v xml:space="preserve">  Cleaning and servicing costs for 18 m bus in 2015 [EUR/ vehicle]</v>
      </c>
      <c r="E20" s="427">
        <f>Input!E69</f>
        <v>4000</v>
      </c>
      <c r="F20" s="838"/>
      <c r="G20" s="9"/>
      <c r="H20" s="9"/>
      <c r="I20" s="19"/>
      <c r="J20" s="19"/>
      <c r="K20" s="19"/>
      <c r="L20" s="19"/>
      <c r="M20" s="19"/>
      <c r="N20" s="19"/>
      <c r="O20" s="19"/>
      <c r="P20" s="19"/>
      <c r="Q20" s="19"/>
      <c r="R20" s="19"/>
      <c r="S20" s="19"/>
      <c r="T20" s="19"/>
      <c r="U20" s="19"/>
    </row>
    <row r="21" spans="1:22" s="29" customFormat="1" ht="15" customHeight="1" thickBot="1" x14ac:dyDescent="0.25">
      <c r="A21" s="23"/>
      <c r="B21" s="24"/>
      <c r="C21" s="519"/>
      <c r="D21" s="76" t="str">
        <f>Input!D70</f>
        <v xml:space="preserve">  Annual expected evolution of cleaning and servicing costs until 2030 [%]</v>
      </c>
      <c r="E21" s="429">
        <f>Input!E70</f>
        <v>0.02</v>
      </c>
      <c r="F21" s="838"/>
      <c r="G21" s="9"/>
      <c r="H21" s="9"/>
      <c r="I21" s="19"/>
      <c r="J21" s="19"/>
      <c r="K21" s="19"/>
      <c r="L21" s="19"/>
      <c r="M21" s="19"/>
      <c r="N21" s="19"/>
      <c r="O21" s="19"/>
      <c r="P21" s="19"/>
      <c r="Q21" s="19"/>
      <c r="R21" s="19"/>
      <c r="S21" s="19"/>
      <c r="T21" s="19"/>
      <c r="U21" s="19"/>
    </row>
    <row r="22" spans="1:22" s="29" customFormat="1" ht="7.9" customHeight="1" thickBot="1" x14ac:dyDescent="0.3">
      <c r="A22" s="23"/>
      <c r="B22" s="24"/>
      <c r="C22" s="519"/>
      <c r="E22" s="118"/>
      <c r="F22" s="105"/>
      <c r="G22"/>
      <c r="H22"/>
      <c r="I22" s="19"/>
      <c r="J22" s="19"/>
      <c r="K22" s="19"/>
      <c r="L22" s="19"/>
      <c r="M22" s="19"/>
      <c r="N22" s="19"/>
      <c r="O22" s="19"/>
      <c r="P22" s="19"/>
      <c r="Q22" s="19"/>
      <c r="R22" s="19"/>
      <c r="S22" s="19"/>
      <c r="T22" s="19"/>
      <c r="U22" s="19"/>
    </row>
    <row r="23" spans="1:22" s="9" customFormat="1" ht="15" customHeight="1" thickBot="1" x14ac:dyDescent="0.3">
      <c r="A23" s="11"/>
      <c r="B23" s="5"/>
      <c r="C23" s="519"/>
      <c r="D23" s="73" t="str">
        <f>Input!D73</f>
        <v xml:space="preserve">  Weighted Average Cost of Capital (WACC) [%]</v>
      </c>
      <c r="E23" s="229">
        <f>Input!E73</f>
        <v>7.0000000000000007E-2</v>
      </c>
      <c r="F23" s="494" t="s">
        <v>11</v>
      </c>
      <c r="G23"/>
      <c r="H23"/>
      <c r="V23" s="28"/>
    </row>
    <row r="24" spans="1:22" s="29" customFormat="1" ht="7.9" customHeight="1" thickBot="1" x14ac:dyDescent="0.3">
      <c r="A24" s="23"/>
      <c r="B24" s="24"/>
      <c r="C24" s="519"/>
      <c r="E24" s="118"/>
      <c r="F24" s="105"/>
      <c r="G24"/>
      <c r="H24"/>
      <c r="I24" s="19"/>
      <c r="J24" s="19"/>
      <c r="K24" s="19"/>
      <c r="L24" s="19"/>
      <c r="M24" s="19"/>
      <c r="N24" s="19"/>
      <c r="O24" s="19"/>
      <c r="P24" s="19"/>
      <c r="Q24" s="19"/>
      <c r="R24" s="19"/>
      <c r="S24" s="19"/>
      <c r="T24" s="19"/>
      <c r="U24" s="19"/>
    </row>
    <row r="25" spans="1:22" s="29" customFormat="1" ht="15" customHeight="1" thickBot="1" x14ac:dyDescent="0.25">
      <c r="A25" s="23"/>
      <c r="B25" s="24"/>
      <c r="C25" s="519"/>
      <c r="D25" s="73" t="str">
        <f>Input!D76</f>
        <v xml:space="preserve">  Insurance premium [%]</v>
      </c>
      <c r="E25" s="79">
        <f>Input!E76</f>
        <v>0.05</v>
      </c>
      <c r="F25" s="495" t="s">
        <v>73</v>
      </c>
      <c r="G25"/>
      <c r="H25"/>
      <c r="I25" s="19"/>
      <c r="J25" s="19"/>
      <c r="K25" s="19"/>
      <c r="L25" s="19"/>
      <c r="M25" s="19"/>
      <c r="N25" s="19"/>
      <c r="O25" s="19"/>
      <c r="P25" s="19"/>
      <c r="Q25" s="19"/>
      <c r="R25" s="19"/>
      <c r="S25" s="19"/>
      <c r="T25" s="19"/>
      <c r="U25" s="19"/>
    </row>
    <row r="26" spans="1:22" s="29" customFormat="1" ht="7.9" customHeight="1" thickBot="1" x14ac:dyDescent="0.3">
      <c r="A26" s="23"/>
      <c r="B26" s="24"/>
      <c r="C26" s="519"/>
      <c r="E26" s="118"/>
      <c r="F26" s="105"/>
      <c r="G26"/>
      <c r="H26"/>
      <c r="I26" s="19"/>
      <c r="J26" s="19"/>
      <c r="K26" s="19"/>
      <c r="L26" s="19"/>
      <c r="M26" s="19"/>
      <c r="N26" s="19"/>
      <c r="O26" s="19"/>
      <c r="P26" s="19"/>
      <c r="Q26" s="19"/>
      <c r="R26" s="19"/>
      <c r="S26" s="19"/>
      <c r="T26" s="19"/>
      <c r="U26" s="19"/>
    </row>
    <row r="27" spans="1:22" s="29" customFormat="1" ht="15" customHeight="1" x14ac:dyDescent="0.2">
      <c r="A27" s="23"/>
      <c r="B27" s="24"/>
      <c r="C27" s="519"/>
      <c r="D27" s="84" t="str">
        <f>Input!D79</f>
        <v xml:space="preserve">  Operating license [EUR/ vehicle]</v>
      </c>
      <c r="E27" s="282">
        <f>Input!E79</f>
        <v>0</v>
      </c>
      <c r="F27" s="837" t="s">
        <v>146</v>
      </c>
      <c r="H27" s="19"/>
      <c r="I27" s="19"/>
      <c r="J27" s="19"/>
      <c r="K27" s="19"/>
      <c r="L27" s="19"/>
      <c r="M27" s="19"/>
      <c r="N27" s="19"/>
      <c r="O27" s="19"/>
      <c r="P27" s="19"/>
      <c r="Q27" s="19"/>
      <c r="R27" s="19"/>
      <c r="S27" s="19"/>
      <c r="T27" s="19"/>
      <c r="U27" s="19"/>
    </row>
    <row r="28" spans="1:22" s="29" customFormat="1" ht="15" customHeight="1" x14ac:dyDescent="0.2">
      <c r="A28" s="23"/>
      <c r="B28" s="24"/>
      <c r="C28" s="519"/>
      <c r="D28" s="83" t="str">
        <f>Input!D80</f>
        <v xml:space="preserve">  City tax [EUR/ vehicle]</v>
      </c>
      <c r="E28" s="88">
        <f>Input!E80</f>
        <v>0</v>
      </c>
      <c r="F28" s="837"/>
      <c r="G28" s="19"/>
      <c r="H28" s="19"/>
      <c r="I28" s="19"/>
      <c r="J28" s="19"/>
      <c r="K28" s="19"/>
      <c r="L28" s="19"/>
      <c r="M28" s="19"/>
      <c r="N28" s="19"/>
      <c r="O28" s="19"/>
      <c r="P28" s="19"/>
      <c r="Q28" s="19"/>
      <c r="R28" s="19"/>
      <c r="S28" s="19"/>
      <c r="T28" s="19"/>
      <c r="U28" s="19"/>
    </row>
    <row r="29" spans="1:22" s="29" customFormat="1" ht="15" customHeight="1" thickBot="1" x14ac:dyDescent="0.25">
      <c r="A29" s="23"/>
      <c r="B29" s="24"/>
      <c r="C29" s="519"/>
      <c r="D29" s="76" t="str">
        <f>Input!D81</f>
        <v xml:space="preserve">  Individual SG&amp;A costs [EUR/ vehicle]</v>
      </c>
      <c r="E29" s="89">
        <f>Input!E81</f>
        <v>0</v>
      </c>
      <c r="F29" s="837"/>
      <c r="G29" s="19"/>
      <c r="H29" s="19"/>
      <c r="I29" s="19"/>
      <c r="J29" s="19"/>
      <c r="K29" s="19"/>
      <c r="L29" s="19"/>
      <c r="M29" s="19"/>
      <c r="N29" s="19"/>
      <c r="O29" s="19"/>
      <c r="P29" s="19"/>
      <c r="Q29" s="19"/>
      <c r="R29" s="19"/>
      <c r="S29" s="19"/>
      <c r="T29" s="19"/>
      <c r="U29" s="19"/>
    </row>
    <row r="30" spans="1:22" s="29" customFormat="1" ht="7.9" customHeight="1" thickBot="1" x14ac:dyDescent="0.3">
      <c r="A30" s="23"/>
      <c r="B30" s="24"/>
      <c r="C30" s="519"/>
      <c r="E30" s="118"/>
      <c r="F30" s="105"/>
      <c r="G30" s="19"/>
      <c r="H30" s="19"/>
      <c r="I30" s="19"/>
      <c r="J30" s="19"/>
      <c r="K30" s="19"/>
      <c r="L30" s="19"/>
      <c r="M30" s="19"/>
      <c r="N30" s="19"/>
      <c r="O30" s="19"/>
      <c r="P30" s="19"/>
      <c r="Q30" s="19"/>
      <c r="R30" s="19"/>
      <c r="S30" s="19"/>
      <c r="T30" s="19"/>
      <c r="U30" s="19"/>
    </row>
    <row r="31" spans="1:22" s="9" customFormat="1" ht="15" customHeight="1" x14ac:dyDescent="0.2">
      <c r="A31" s="11"/>
      <c r="B31" s="5"/>
      <c r="C31" s="519"/>
      <c r="D31" s="84" t="str">
        <f>Input!D125</f>
        <v xml:space="preserve">  Average ticket price, including subscriptions in 2015 [EUR]</v>
      </c>
      <c r="E31" s="180">
        <f>Input!E125</f>
        <v>0</v>
      </c>
      <c r="F31" s="837" t="s">
        <v>171</v>
      </c>
      <c r="V31" s="28"/>
    </row>
    <row r="32" spans="1:22" s="9" customFormat="1" ht="15" customHeight="1" x14ac:dyDescent="0.2">
      <c r="A32" s="11"/>
      <c r="B32" s="5"/>
      <c r="C32" s="519"/>
      <c r="D32" s="83" t="str">
        <f>Input!D126</f>
        <v xml:space="preserve">  Annual expected evolution of ticket prices until 2030 [%]</v>
      </c>
      <c r="E32" s="135">
        <f>Input!E126</f>
        <v>0</v>
      </c>
      <c r="F32" s="837"/>
      <c r="V32" s="28"/>
    </row>
    <row r="33" spans="1:22" s="9" customFormat="1" ht="15" customHeight="1" x14ac:dyDescent="0.2">
      <c r="A33" s="11"/>
      <c r="B33" s="5"/>
      <c r="C33" s="519"/>
      <c r="D33" s="83" t="str">
        <f>Input!D127</f>
        <v xml:space="preserve">  Average number of passengers/ bus - 12 - 13.5 m [#]</v>
      </c>
      <c r="E33" s="88">
        <f>Input!E127</f>
        <v>0</v>
      </c>
      <c r="F33" s="837"/>
      <c r="V33" s="28"/>
    </row>
    <row r="34" spans="1:22" s="9" customFormat="1" ht="15" customHeight="1" x14ac:dyDescent="0.2">
      <c r="A34" s="11"/>
      <c r="B34" s="5"/>
      <c r="C34" s="519"/>
      <c r="D34" s="83" t="str">
        <f>Input!D128</f>
        <v xml:space="preserve">  Average number of passengers/ bus - 18 m [#]</v>
      </c>
      <c r="E34" s="88">
        <f>Input!E128</f>
        <v>0</v>
      </c>
      <c r="F34" s="837"/>
      <c r="V34" s="28"/>
    </row>
    <row r="35" spans="1:22" s="9" customFormat="1" ht="15" customHeight="1" x14ac:dyDescent="0.2">
      <c r="A35" s="11"/>
      <c r="B35" s="5"/>
      <c r="C35" s="519"/>
      <c r="D35" s="83" t="str">
        <f>Input!D129</f>
        <v xml:space="preserve">  Average trip duration [hours]</v>
      </c>
      <c r="E35" s="181">
        <f>Input!E129</f>
        <v>0</v>
      </c>
      <c r="F35" s="837"/>
      <c r="V35" s="28"/>
    </row>
    <row r="36" spans="1:22" s="9" customFormat="1" ht="15" customHeight="1" x14ac:dyDescent="0.2">
      <c r="A36" s="11"/>
      <c r="B36" s="5"/>
      <c r="C36" s="519"/>
      <c r="D36" s="83" t="str">
        <f>Input!D130</f>
        <v xml:space="preserve">  Annual expected passenger traffic increase [%]</v>
      </c>
      <c r="E36" s="184">
        <f>Input!E130</f>
        <v>0</v>
      </c>
      <c r="F36" s="837"/>
      <c r="V36" s="28"/>
    </row>
    <row r="37" spans="1:22" s="9" customFormat="1" ht="15" customHeight="1" x14ac:dyDescent="0.2">
      <c r="A37" s="11"/>
      <c r="B37" s="5"/>
      <c r="C37" s="519"/>
      <c r="D37" s="83" t="str">
        <f>Input!D131</f>
        <v xml:space="preserve">  Average subsidy/ passenger in 2015 [EUR]</v>
      </c>
      <c r="E37" s="182">
        <f>Input!E131</f>
        <v>0</v>
      </c>
      <c r="F37" s="837"/>
      <c r="V37" s="28"/>
    </row>
    <row r="38" spans="1:22" s="9" customFormat="1" ht="15" customHeight="1" x14ac:dyDescent="0.2">
      <c r="A38" s="11"/>
      <c r="B38" s="5"/>
      <c r="C38" s="519"/>
      <c r="D38" s="83" t="str">
        <f>Input!D132</f>
        <v xml:space="preserve">  Annual expected evolution of subsidies until 2030 [%]</v>
      </c>
      <c r="E38" s="134">
        <f>Input!E132</f>
        <v>0</v>
      </c>
      <c r="F38" s="837"/>
      <c r="V38" s="28"/>
    </row>
    <row r="39" spans="1:22" s="9" customFormat="1" ht="15" customHeight="1" x14ac:dyDescent="0.2">
      <c r="A39" s="11"/>
      <c r="B39" s="5"/>
      <c r="C39" s="519"/>
      <c r="D39" s="83" t="str">
        <f>Input!D133</f>
        <v xml:space="preserve">  Average incentive for purchasing/ bus in 2015 [EUR]</v>
      </c>
      <c r="E39" s="88">
        <f>Input!E133</f>
        <v>0</v>
      </c>
      <c r="F39" s="837"/>
      <c r="V39" s="28"/>
    </row>
    <row r="40" spans="1:22" s="9" customFormat="1" ht="15" customHeight="1" x14ac:dyDescent="0.2">
      <c r="A40" s="11"/>
      <c r="B40" s="5"/>
      <c r="C40" s="519"/>
      <c r="D40" s="133" t="str">
        <f>Input!D134</f>
        <v xml:space="preserve">  Annual expected evolution bus purchasing incentives [%]</v>
      </c>
      <c r="E40" s="134">
        <f>Input!E134</f>
        <v>0</v>
      </c>
      <c r="F40" s="837"/>
      <c r="V40" s="28"/>
    </row>
    <row r="41" spans="1:22" s="9" customFormat="1" ht="15" customHeight="1" x14ac:dyDescent="0.25">
      <c r="A41" s="11"/>
      <c r="B41" s="5"/>
      <c r="C41" s="519"/>
      <c r="D41" s="83" t="str">
        <f>Input!D135</f>
        <v xml:space="preserve">  Other revenues (e.g. grants) in 2015 [EUR]</v>
      </c>
      <c r="E41" s="88">
        <f>Input!E135</f>
        <v>0</v>
      </c>
      <c r="F41" s="111"/>
      <c r="V41" s="28"/>
    </row>
    <row r="42" spans="1:22" s="9" customFormat="1" ht="15" customHeight="1" thickBot="1" x14ac:dyDescent="0.3">
      <c r="A42" s="11"/>
      <c r="B42" s="5"/>
      <c r="C42" s="519"/>
      <c r="D42" s="76" t="str">
        <f>Input!D136</f>
        <v xml:space="preserve">  Annual expected evolution of other revenues [%]</v>
      </c>
      <c r="E42" s="86">
        <f>Input!E136</f>
        <v>0</v>
      </c>
      <c r="F42" s="111"/>
      <c r="G42" s="334" t="str">
        <f>IF($F$45&lt;Input!$E$16," TCO not taking into account infrastructure costs until "&amp;Input!$E$16 &amp; " !!! ","")</f>
        <v/>
      </c>
      <c r="V42" s="28"/>
    </row>
    <row r="43" spans="1:22" s="29" customFormat="1" ht="7.9" customHeight="1" thickBot="1" x14ac:dyDescent="0.3">
      <c r="A43" s="23"/>
      <c r="B43" s="24"/>
      <c r="C43" s="519"/>
      <c r="E43" s="118"/>
      <c r="F43" s="105"/>
      <c r="G43" s="19"/>
      <c r="H43" s="19"/>
      <c r="I43" s="19"/>
      <c r="J43" s="19"/>
      <c r="K43" s="19"/>
      <c r="L43" s="19"/>
      <c r="M43" s="19"/>
      <c r="N43" s="19"/>
      <c r="O43" s="19"/>
      <c r="P43" s="19"/>
      <c r="Q43" s="19"/>
      <c r="R43" s="19"/>
      <c r="S43" s="19"/>
      <c r="T43" s="19"/>
      <c r="U43" s="19"/>
    </row>
    <row r="44" spans="1:22" s="29" customFormat="1" ht="15" customHeight="1" thickBot="1" x14ac:dyDescent="0.3">
      <c r="A44" s="23"/>
      <c r="B44" s="24"/>
      <c r="C44" s="519"/>
      <c r="D44" s="73" t="str">
        <f>Input!D84</f>
        <v xml:space="preserve">  Workshop adaptation costs [EUR]</v>
      </c>
      <c r="E44" s="401">
        <f>Input!E84</f>
        <v>250000</v>
      </c>
      <c r="F44" s="112"/>
      <c r="G44" s="19"/>
      <c r="H44" s="19"/>
      <c r="I44" s="19"/>
      <c r="J44" s="19"/>
      <c r="K44" s="19"/>
      <c r="L44" s="19"/>
      <c r="M44" s="19"/>
      <c r="N44" s="19"/>
      <c r="O44" s="19"/>
      <c r="P44" s="19"/>
      <c r="Q44" s="19"/>
      <c r="R44" s="19"/>
      <c r="S44" s="19"/>
      <c r="T44" s="19"/>
      <c r="U44" s="19"/>
    </row>
    <row r="45" spans="1:22" ht="34.9" customHeight="1" x14ac:dyDescent="0.25">
      <c r="D45" s="8"/>
      <c r="E45" s="20"/>
      <c r="F45" s="496">
        <v>2015</v>
      </c>
      <c r="G45" s="496">
        <f t="shared" ref="G45:U45" si="0">F45+1</f>
        <v>2016</v>
      </c>
      <c r="H45" s="496">
        <f t="shared" si="0"/>
        <v>2017</v>
      </c>
      <c r="I45" s="496">
        <f t="shared" si="0"/>
        <v>2018</v>
      </c>
      <c r="J45" s="496">
        <f t="shared" si="0"/>
        <v>2019</v>
      </c>
      <c r="K45" s="496">
        <f t="shared" si="0"/>
        <v>2020</v>
      </c>
      <c r="L45" s="496">
        <f t="shared" si="0"/>
        <v>2021</v>
      </c>
      <c r="M45" s="496">
        <f t="shared" si="0"/>
        <v>2022</v>
      </c>
      <c r="N45" s="496">
        <f t="shared" si="0"/>
        <v>2023</v>
      </c>
      <c r="O45" s="496">
        <f t="shared" si="0"/>
        <v>2024</v>
      </c>
      <c r="P45" s="496">
        <f t="shared" si="0"/>
        <v>2025</v>
      </c>
      <c r="Q45" s="496">
        <f t="shared" si="0"/>
        <v>2026</v>
      </c>
      <c r="R45" s="496">
        <f t="shared" si="0"/>
        <v>2027</v>
      </c>
      <c r="S45" s="496">
        <f t="shared" si="0"/>
        <v>2028</v>
      </c>
      <c r="T45" s="496">
        <f t="shared" si="0"/>
        <v>2029</v>
      </c>
      <c r="U45" s="496">
        <f t="shared" si="0"/>
        <v>2030</v>
      </c>
      <c r="V45" s="28"/>
    </row>
    <row r="46" spans="1:22" s="78" customFormat="1" ht="25.9" customHeight="1" x14ac:dyDescent="0.25">
      <c r="A46" s="114"/>
      <c r="B46" s="115"/>
      <c r="C46" s="519"/>
      <c r="D46" s="213" t="s">
        <v>80</v>
      </c>
      <c r="E46" s="213"/>
      <c r="F46" s="214">
        <f>((F47+F78+IF(Input!$G$12="Yes",'Cost analysis'!F59,0)+IF(Input!$J$12="Yes",'Cost analysis'!F60,0)+IF(Input!$M$12="Yes",'Cost analysis'!F61,0))/IF(Input!$G$12="Yes",$E$192,F114))*F83</f>
        <v>0</v>
      </c>
      <c r="G46" s="214">
        <f>((G47+G78+IF(Input!$G$12="Yes",'Cost analysis'!G59,0)+IF(Input!$J$12="Yes",'Cost analysis'!G60,0)+IF(Input!$M$12="Yes",'Cost analysis'!G61,0))/IF(Input!$G$12="Yes",$E$192,G114))*G83</f>
        <v>0</v>
      </c>
      <c r="H46" s="214">
        <f>((H47+H78+IF(Input!$G$12="Yes",'Cost analysis'!H59,0)+IF(Input!$J$12="Yes",'Cost analysis'!H60,0)+IF(Input!$M$12="Yes",'Cost analysis'!H61,0))/IF(Input!$G$12="Yes",$E$192,H114))*H83</f>
        <v>0</v>
      </c>
      <c r="I46" s="214">
        <f>((I47+I78+IF(Input!$G$12="Yes",'Cost analysis'!I59,0)+IF(Input!$J$12="Yes",'Cost analysis'!I60,0)+IF(Input!$M$12="Yes",'Cost analysis'!I61,0))/IF(Input!$G$12="Yes",$E$192,I114))*I83</f>
        <v>0</v>
      </c>
      <c r="J46" s="214">
        <f>((J47+J78+IF(Input!$G$12="Yes",'Cost analysis'!J59,0)+IF(Input!$J$12="Yes",'Cost analysis'!J60,0)+IF(Input!$M$12="Yes",'Cost analysis'!J61,0))/IF(Input!$G$12="Yes",$E$192,J114))*J83</f>
        <v>0</v>
      </c>
      <c r="K46" s="214">
        <f>((K47+K78+IF(Input!$G$12="Yes",'Cost analysis'!K59,0)+IF(Input!$J$12="Yes",'Cost analysis'!K60,0)+IF(Input!$M$12="Yes",'Cost analysis'!K61,0))/IF(Input!$G$12="Yes",$E$192,K114))*K83</f>
        <v>0</v>
      </c>
      <c r="L46" s="214">
        <f>((L47+L78+IF(Input!$G$12="Yes",'Cost analysis'!L59,0)+IF(Input!$J$12="Yes",'Cost analysis'!L60,0)+IF(Input!$M$12="Yes",'Cost analysis'!L61,0))/IF(Input!$G$12="Yes",$E$192,L114))*L83</f>
        <v>0</v>
      </c>
      <c r="M46" s="214">
        <f>((M47+M78+IF(Input!$G$12="Yes",'Cost analysis'!M59,0)+IF(Input!$J$12="Yes",'Cost analysis'!M60,0)+IF(Input!$M$12="Yes",'Cost analysis'!M61,0))/IF(Input!$G$12="Yes",$E$192,M114))*M83</f>
        <v>0</v>
      </c>
      <c r="N46" s="214">
        <f>((N47+N78+IF(Input!$G$12="Yes",'Cost analysis'!N59,0)+IF(Input!$J$12="Yes",'Cost analysis'!N60,0)+IF(Input!$M$12="Yes",'Cost analysis'!N61,0))/IF(Input!$G$12="Yes",$E$192,N114))*N83</f>
        <v>0</v>
      </c>
      <c r="O46" s="214">
        <f>((O47+O78+IF(Input!$G$12="Yes",'Cost analysis'!O59,0)+IF(Input!$J$12="Yes",'Cost analysis'!O60,0)+IF(Input!$M$12="Yes",'Cost analysis'!O61,0))/IF(Input!$G$12="Yes",$E$192,O114))*O83</f>
        <v>0</v>
      </c>
      <c r="P46" s="214">
        <f>((P47+P78+IF(Input!$G$12="Yes",'Cost analysis'!P59,0)+IF(Input!$J$12="Yes",'Cost analysis'!P60,0)+IF(Input!$M$12="Yes",'Cost analysis'!P61,0))/IF(Input!$G$12="Yes",$E$192,P114))*P83</f>
        <v>0</v>
      </c>
      <c r="Q46" s="214">
        <f>((Q47+Q78+IF(Input!$G$12="Yes",'Cost analysis'!Q59,0)+IF(Input!$J$12="Yes",'Cost analysis'!Q60,0)+IF(Input!$M$12="Yes",'Cost analysis'!Q61,0))/IF(Input!$G$12="Yes",$E$192,Q114))*Q83</f>
        <v>0</v>
      </c>
      <c r="R46" s="214">
        <f>((R47+R78+IF(Input!$G$12="Yes",'Cost analysis'!R59,0)+IF(Input!$J$12="Yes",'Cost analysis'!R60,0)+IF(Input!$M$12="Yes",'Cost analysis'!R61,0))/IF(Input!$G$12="Yes",$E$192,R114))*R83</f>
        <v>0</v>
      </c>
      <c r="S46" s="214">
        <f>((S47+S78+IF(Input!$G$12="Yes",'Cost analysis'!S59,0)+IF(Input!$J$12="Yes",'Cost analysis'!S60,0)+IF(Input!$M$12="Yes",'Cost analysis'!S61,0))/IF(Input!$G$12="Yes",$E$192,S114))*S83</f>
        <v>0</v>
      </c>
      <c r="T46" s="214">
        <f>((T47+T78+IF(Input!$G$12="Yes",'Cost analysis'!T59,0)+IF(Input!$J$12="Yes",'Cost analysis'!T60,0)+IF(Input!$M$12="Yes",'Cost analysis'!T61,0))/IF(Input!$G$12="Yes",$E$192,T114))*T83</f>
        <v>0</v>
      </c>
      <c r="U46" s="214">
        <f>((U47+U78+IF(Input!$G$12="Yes",'Cost analysis'!U59,0)+IF(Input!$J$12="Yes",'Cost analysis'!U60,0)+IF(Input!$M$12="Yes",'Cost analysis'!U61,0))/IF(Input!$G$12="Yes",$E$192,U114))*U83</f>
        <v>0</v>
      </c>
    </row>
    <row r="47" spans="1:22" s="78" customFormat="1" ht="25.9" customHeight="1" x14ac:dyDescent="0.25">
      <c r="A47" s="114"/>
      <c r="B47" s="115"/>
      <c r="C47" s="519"/>
      <c r="D47" s="213" t="s">
        <v>148</v>
      </c>
      <c r="E47" s="213"/>
      <c r="F47" s="215">
        <f t="shared" ref="F47:U47" si="1">F49+F50+F51+F58+F56</f>
        <v>208885.44158526472</v>
      </c>
      <c r="G47" s="215">
        <f t="shared" si="1"/>
        <v>207544.98921009962</v>
      </c>
      <c r="H47" s="215">
        <f t="shared" si="1"/>
        <v>206236.63439395247</v>
      </c>
      <c r="I47" s="215">
        <f t="shared" si="1"/>
        <v>204961.87613315746</v>
      </c>
      <c r="J47" s="215">
        <f t="shared" si="1"/>
        <v>203722.25693684787</v>
      </c>
      <c r="K47" s="215">
        <f t="shared" si="1"/>
        <v>202519.36395100862</v>
      </c>
      <c r="L47" s="215">
        <f t="shared" si="1"/>
        <v>202149.59446927113</v>
      </c>
      <c r="M47" s="215">
        <f t="shared" si="1"/>
        <v>201869.70740103204</v>
      </c>
      <c r="N47" s="215">
        <f t="shared" si="1"/>
        <v>201681.96365289154</v>
      </c>
      <c r="O47" s="215">
        <f t="shared" si="1"/>
        <v>201588.67967889656</v>
      </c>
      <c r="P47" s="215">
        <f t="shared" si="1"/>
        <v>201592.22884686547</v>
      </c>
      <c r="Q47" s="215">
        <f t="shared" si="1"/>
        <v>201965.76445521659</v>
      </c>
      <c r="R47" s="215">
        <f t="shared" si="1"/>
        <v>202410.99410130683</v>
      </c>
      <c r="S47" s="215">
        <f t="shared" si="1"/>
        <v>202929.33883181785</v>
      </c>
      <c r="T47" s="215">
        <f t="shared" si="1"/>
        <v>203522.25534443336</v>
      </c>
      <c r="U47" s="215">
        <f t="shared" si="1"/>
        <v>204191.23684356362</v>
      </c>
    </row>
    <row r="48" spans="1:22" s="78" customFormat="1" ht="25.9" customHeight="1" x14ac:dyDescent="0.25">
      <c r="A48" s="114"/>
      <c r="B48" s="115"/>
      <c r="C48" s="519"/>
      <c r="D48" s="213" t="s">
        <v>147</v>
      </c>
      <c r="E48" s="213"/>
      <c r="F48" s="215">
        <f t="shared" ref="F48:U48" si="2">F49+F50+F51+F60+F59+F58+F56+F61</f>
        <v>276468.83910833095</v>
      </c>
      <c r="G48" s="215">
        <f t="shared" si="2"/>
        <v>272619.15703992912</v>
      </c>
      <c r="H48" s="215">
        <f t="shared" si="2"/>
        <v>268747.89984554192</v>
      </c>
      <c r="I48" s="215">
        <f t="shared" si="2"/>
        <v>264854.81724173611</v>
      </c>
      <c r="J48" s="215">
        <f t="shared" si="2"/>
        <v>260939.65072292043</v>
      </c>
      <c r="K48" s="215">
        <f t="shared" si="2"/>
        <v>257002.13324444531</v>
      </c>
      <c r="L48" s="215">
        <f t="shared" si="2"/>
        <v>253972.703072351</v>
      </c>
      <c r="M48" s="215">
        <f t="shared" si="2"/>
        <v>250980.53195266737</v>
      </c>
      <c r="N48" s="215">
        <f t="shared" si="2"/>
        <v>248025.6635075692</v>
      </c>
      <c r="O48" s="215">
        <f t="shared" si="2"/>
        <v>245108.13195578771</v>
      </c>
      <c r="P48" s="215">
        <f t="shared" si="2"/>
        <v>242227.96168049934</v>
      </c>
      <c r="Q48" s="215">
        <f t="shared" si="2"/>
        <v>241073.15852162565</v>
      </c>
      <c r="R48" s="215">
        <f t="shared" si="2"/>
        <v>239963.59368396911</v>
      </c>
      <c r="S48" s="215">
        <f t="shared" si="2"/>
        <v>238899.57702249032</v>
      </c>
      <c r="T48" s="215">
        <f t="shared" si="2"/>
        <v>237881.42188830278</v>
      </c>
      <c r="U48" s="215">
        <f t="shared" si="2"/>
        <v>236909.44510633353</v>
      </c>
    </row>
    <row r="49" spans="1:22" s="198" customFormat="1" ht="25.9" customHeight="1" x14ac:dyDescent="0.25">
      <c r="A49" s="196"/>
      <c r="B49" s="197"/>
      <c r="C49" s="519"/>
      <c r="D49" s="195" t="s">
        <v>82</v>
      </c>
      <c r="E49" s="195"/>
      <c r="F49" s="199">
        <f t="shared" ref="F49:U49" si="3">F97/$E$9</f>
        <v>59389.333333333336</v>
      </c>
      <c r="G49" s="199">
        <f t="shared" si="3"/>
        <v>57329.319096767045</v>
      </c>
      <c r="H49" s="199">
        <f t="shared" si="3"/>
        <v>55269.304860200697</v>
      </c>
      <c r="I49" s="199">
        <f t="shared" si="3"/>
        <v>53209.290623634392</v>
      </c>
      <c r="J49" s="199">
        <f t="shared" si="3"/>
        <v>51149.276387068043</v>
      </c>
      <c r="K49" s="199">
        <f t="shared" si="3"/>
        <v>49089.262150501752</v>
      </c>
      <c r="L49" s="199">
        <f t="shared" si="3"/>
        <v>47543.56888206143</v>
      </c>
      <c r="M49" s="199">
        <f t="shared" si="3"/>
        <v>46025.549170045</v>
      </c>
      <c r="N49" s="199">
        <f t="shared" si="3"/>
        <v>44535.203014452571</v>
      </c>
      <c r="O49" s="199">
        <f t="shared" si="3"/>
        <v>43072.53041528404</v>
      </c>
      <c r="P49" s="199">
        <f t="shared" si="3"/>
        <v>41637.531372539524</v>
      </c>
      <c r="Q49" s="199">
        <f t="shared" si="3"/>
        <v>40538.058686774784</v>
      </c>
      <c r="R49" s="199">
        <f t="shared" si="3"/>
        <v>39452.647703828108</v>
      </c>
      <c r="S49" s="199">
        <f t="shared" si="3"/>
        <v>38381.298423699373</v>
      </c>
      <c r="T49" s="199">
        <f t="shared" si="3"/>
        <v>37324.01084638865</v>
      </c>
      <c r="U49" s="199">
        <f t="shared" si="3"/>
        <v>36280.784971895926</v>
      </c>
      <c r="V49" s="9"/>
    </row>
    <row r="50" spans="1:22" s="9" customFormat="1" ht="25.9" customHeight="1" x14ac:dyDescent="0.25">
      <c r="A50" s="23"/>
      <c r="B50" s="24"/>
      <c r="C50" s="519"/>
      <c r="D50" s="195" t="s">
        <v>83</v>
      </c>
      <c r="E50" s="194"/>
      <c r="F50" s="200">
        <f t="shared" ref="F50:U50" si="4">F107*F114/100*F118</f>
        <v>23237.245416666665</v>
      </c>
      <c r="G50" s="200">
        <f t="shared" si="4"/>
        <v>23485.38785546572</v>
      </c>
      <c r="H50" s="200">
        <f t="shared" si="4"/>
        <v>23729.454140641483</v>
      </c>
      <c r="I50" s="200">
        <f t="shared" si="4"/>
        <v>23969.268683867893</v>
      </c>
      <c r="J50" s="200">
        <f t="shared" si="4"/>
        <v>24204.652197062078</v>
      </c>
      <c r="K50" s="200">
        <f t="shared" si="4"/>
        <v>24435.42163152486</v>
      </c>
      <c r="L50" s="200">
        <f t="shared" si="4"/>
        <v>24696.776522728967</v>
      </c>
      <c r="M50" s="200">
        <f t="shared" si="4"/>
        <v>24953.340917764086</v>
      </c>
      <c r="N50" s="200">
        <f t="shared" si="4"/>
        <v>25204.915075455792</v>
      </c>
      <c r="O50" s="200">
        <f t="shared" si="4"/>
        <v>25451.295071325363</v>
      </c>
      <c r="P50" s="200">
        <f t="shared" si="4"/>
        <v>25692.272728950767</v>
      </c>
      <c r="Q50" s="200">
        <f t="shared" si="4"/>
        <v>25859.963495988854</v>
      </c>
      <c r="R50" s="200">
        <f t="shared" si="4"/>
        <v>26026.128995711264</v>
      </c>
      <c r="S50" s="200">
        <f t="shared" si="4"/>
        <v>26190.702625208814</v>
      </c>
      <c r="T50" s="200">
        <f t="shared" si="4"/>
        <v>26353.616459500816</v>
      </c>
      <c r="U50" s="200">
        <f t="shared" si="4"/>
        <v>26514.80123086278</v>
      </c>
      <c r="V50" s="177"/>
    </row>
    <row r="51" spans="1:22" s="9" customFormat="1" ht="25.9" customHeight="1" x14ac:dyDescent="0.25">
      <c r="A51" s="23"/>
      <c r="B51" s="24"/>
      <c r="C51" s="519"/>
      <c r="D51" s="195" t="s">
        <v>84</v>
      </c>
      <c r="E51" s="194"/>
      <c r="F51" s="200">
        <f>SUM(F52:F55)</f>
        <v>30265.209726285677</v>
      </c>
      <c r="G51" s="200">
        <f t="shared" ref="G51:U51" si="5">SUM(G52:G55)</f>
        <v>29542.907115064296</v>
      </c>
      <c r="H51" s="200">
        <f t="shared" si="5"/>
        <v>28790.343511826683</v>
      </c>
      <c r="I51" s="200">
        <f t="shared" si="5"/>
        <v>28007.377401397353</v>
      </c>
      <c r="J51" s="200">
        <f t="shared" si="5"/>
        <v>27193.867268600738</v>
      </c>
      <c r="K51" s="200">
        <f t="shared" si="5"/>
        <v>26349.67159826135</v>
      </c>
      <c r="L51" s="200">
        <f t="shared" si="5"/>
        <v>25365.880842876417</v>
      </c>
      <c r="M51" s="200">
        <f t="shared" si="5"/>
        <v>24354.994562165459</v>
      </c>
      <c r="N51" s="200">
        <f t="shared" si="5"/>
        <v>23317.280861624127</v>
      </c>
      <c r="O51" s="200">
        <f t="shared" si="5"/>
        <v>22253.010471748203</v>
      </c>
      <c r="P51" s="200">
        <f t="shared" si="5"/>
        <v>21162.456748033626</v>
      </c>
      <c r="Q51" s="200">
        <f t="shared" si="5"/>
        <v>20580.679005577091</v>
      </c>
      <c r="R51" s="200">
        <f t="shared" si="5"/>
        <v>19988.498207015989</v>
      </c>
      <c r="S51" s="200">
        <f t="shared" si="5"/>
        <v>19385.863180042244</v>
      </c>
      <c r="T51" s="200">
        <f t="shared" si="5"/>
        <v>18772.72265937577</v>
      </c>
      <c r="U51" s="200">
        <f t="shared" si="5"/>
        <v>18149.025286764496</v>
      </c>
    </row>
    <row r="52" spans="1:22" s="177" customFormat="1" ht="25.9" customHeight="1" x14ac:dyDescent="0.25">
      <c r="A52" s="221"/>
      <c r="B52" s="222"/>
      <c r="C52" s="519"/>
      <c r="D52" s="223" t="s">
        <v>85</v>
      </c>
      <c r="E52" s="224"/>
      <c r="F52" s="225">
        <f t="shared" ref="F52:U52" si="6">F125*F114</f>
        <v>5333.5028157481247</v>
      </c>
      <c r="G52" s="225">
        <f t="shared" si="6"/>
        <v>5368.7351725361277</v>
      </c>
      <c r="H52" s="225">
        <f t="shared" si="6"/>
        <v>5403.1138884822385</v>
      </c>
      <c r="I52" s="225">
        <f t="shared" si="6"/>
        <v>5436.6341307685025</v>
      </c>
      <c r="J52" s="225">
        <f t="shared" si="6"/>
        <v>5469.291066576975</v>
      </c>
      <c r="K52" s="225">
        <f t="shared" si="6"/>
        <v>5501.0798630897007</v>
      </c>
      <c r="L52" s="225">
        <f t="shared" si="6"/>
        <v>5538.2820462244999</v>
      </c>
      <c r="M52" s="225">
        <f t="shared" si="6"/>
        <v>5574.5326591065423</v>
      </c>
      <c r="N52" s="225">
        <f t="shared" si="6"/>
        <v>5609.8263856360809</v>
      </c>
      <c r="O52" s="225">
        <f t="shared" si="6"/>
        <v>5644.1579097133663</v>
      </c>
      <c r="P52" s="225">
        <f t="shared" si="6"/>
        <v>5677.5219152386508</v>
      </c>
      <c r="Q52" s="225">
        <f t="shared" si="6"/>
        <v>5670.1291884717775</v>
      </c>
      <c r="R52" s="225">
        <f t="shared" si="6"/>
        <v>5662.2265622463938</v>
      </c>
      <c r="S52" s="225">
        <f t="shared" si="6"/>
        <v>5653.812425623194</v>
      </c>
      <c r="T52" s="225">
        <f t="shared" si="6"/>
        <v>5644.885167662851</v>
      </c>
      <c r="U52" s="225">
        <f t="shared" si="6"/>
        <v>5635.4431774260429</v>
      </c>
      <c r="V52" s="9"/>
    </row>
    <row r="53" spans="1:22" s="177" customFormat="1" ht="25.9" customHeight="1" x14ac:dyDescent="0.25">
      <c r="A53" s="221"/>
      <c r="B53" s="222"/>
      <c r="C53" s="519"/>
      <c r="D53" s="223" t="s">
        <v>137</v>
      </c>
      <c r="E53" s="224"/>
      <c r="F53" s="225">
        <f t="shared" ref="F53:U53" si="7">F129*F114</f>
        <v>9438.5159366619082</v>
      </c>
      <c r="G53" s="225">
        <f t="shared" si="7"/>
        <v>9056.3066294016735</v>
      </c>
      <c r="H53" s="225">
        <f t="shared" si="7"/>
        <v>8660.3344777254188</v>
      </c>
      <c r="I53" s="225">
        <f t="shared" si="7"/>
        <v>8250.5359318198134</v>
      </c>
      <c r="J53" s="225">
        <f t="shared" si="7"/>
        <v>7826.8474418714741</v>
      </c>
      <c r="K53" s="225">
        <f t="shared" si="7"/>
        <v>7389.2054580670729</v>
      </c>
      <c r="L53" s="225">
        <f t="shared" si="7"/>
        <v>6865.6071112279869</v>
      </c>
      <c r="M53" s="225">
        <f t="shared" si="7"/>
        <v>6345.71003133465</v>
      </c>
      <c r="N53" s="225">
        <f t="shared" si="7"/>
        <v>5830.3306208709173</v>
      </c>
      <c r="O53" s="225">
        <f t="shared" si="7"/>
        <v>5320.2906149910032</v>
      </c>
      <c r="P53" s="225">
        <f t="shared" si="7"/>
        <v>4816.4170815194693</v>
      </c>
      <c r="Q53" s="225">
        <f t="shared" si="7"/>
        <v>4629.4805237552437</v>
      </c>
      <c r="R53" s="225">
        <f t="shared" si="7"/>
        <v>4421.411305154712</v>
      </c>
      <c r="S53" s="225">
        <f t="shared" si="7"/>
        <v>4191.8450928315915</v>
      </c>
      <c r="T53" s="225">
        <f t="shared" si="7"/>
        <v>3940.4162338054593</v>
      </c>
      <c r="U53" s="225">
        <f t="shared" si="7"/>
        <v>3666.7577550017254</v>
      </c>
      <c r="V53" s="9"/>
    </row>
    <row r="54" spans="1:22" s="177" customFormat="1" ht="25.9" customHeight="1" x14ac:dyDescent="0.25">
      <c r="A54" s="221"/>
      <c r="B54" s="222"/>
      <c r="C54" s="519"/>
      <c r="D54" s="223" t="s">
        <v>138</v>
      </c>
      <c r="E54" s="224"/>
      <c r="F54" s="225">
        <f t="shared" ref="F54:U54" si="8">F130*F114</f>
        <v>5767.643883928572</v>
      </c>
      <c r="G54" s="225">
        <f t="shared" si="8"/>
        <v>5778.3823822723953</v>
      </c>
      <c r="H54" s="225">
        <f t="shared" si="8"/>
        <v>5787.4436560952363</v>
      </c>
      <c r="I54" s="225">
        <f t="shared" si="8"/>
        <v>5794.8190942134379</v>
      </c>
      <c r="J54" s="225">
        <f t="shared" si="8"/>
        <v>5800.5000854433083</v>
      </c>
      <c r="K54" s="225">
        <f t="shared" si="8"/>
        <v>5804.4780186011913</v>
      </c>
      <c r="L54" s="225">
        <f t="shared" si="8"/>
        <v>5779.5428944013602</v>
      </c>
      <c r="M54" s="225">
        <f t="shared" si="8"/>
        <v>5751.7802563134874</v>
      </c>
      <c r="N54" s="225">
        <f t="shared" si="8"/>
        <v>5721.176335452381</v>
      </c>
      <c r="O54" s="225">
        <f t="shared" si="8"/>
        <v>5687.7173629328208</v>
      </c>
      <c r="P54" s="225">
        <f t="shared" si="8"/>
        <v>5651.389569869616</v>
      </c>
      <c r="Q54" s="225">
        <f t="shared" si="8"/>
        <v>5624.4365150510212</v>
      </c>
      <c r="R54" s="225">
        <f t="shared" si="8"/>
        <v>5596.7209964285721</v>
      </c>
      <c r="S54" s="225">
        <f t="shared" si="8"/>
        <v>5568.2407010770994</v>
      </c>
      <c r="T54" s="225">
        <f t="shared" si="8"/>
        <v>5538.9933160714299</v>
      </c>
      <c r="U54" s="225">
        <f t="shared" si="8"/>
        <v>5508.9765284863952</v>
      </c>
      <c r="V54" s="9"/>
    </row>
    <row r="55" spans="1:22" s="177" customFormat="1" ht="25.9" customHeight="1" x14ac:dyDescent="0.25">
      <c r="A55" s="221"/>
      <c r="B55" s="222"/>
      <c r="C55" s="519"/>
      <c r="D55" s="223" t="s">
        <v>86</v>
      </c>
      <c r="E55" s="224"/>
      <c r="F55" s="225">
        <f t="shared" ref="F55:U55" si="9">F135*F114</f>
        <v>9725.5470899470711</v>
      </c>
      <c r="G55" s="225">
        <f t="shared" si="9"/>
        <v>9339.4829308540975</v>
      </c>
      <c r="H55" s="225">
        <f t="shared" si="9"/>
        <v>8939.4514895237917</v>
      </c>
      <c r="I55" s="225">
        <f t="shared" si="9"/>
        <v>8525.3882445955951</v>
      </c>
      <c r="J55" s="225">
        <f t="shared" si="9"/>
        <v>8097.2286747089793</v>
      </c>
      <c r="K55" s="225">
        <f t="shared" si="9"/>
        <v>7654.9082585033821</v>
      </c>
      <c r="L55" s="225">
        <f t="shared" si="9"/>
        <v>7182.4487910225735</v>
      </c>
      <c r="M55" s="225">
        <f t="shared" si="9"/>
        <v>6682.9716154107819</v>
      </c>
      <c r="N55" s="225">
        <f t="shared" si="9"/>
        <v>6155.9475196647509</v>
      </c>
      <c r="O55" s="225">
        <f t="shared" si="9"/>
        <v>5600.8445841110133</v>
      </c>
      <c r="P55" s="225">
        <f t="shared" si="9"/>
        <v>5017.1281814058921</v>
      </c>
      <c r="Q55" s="225">
        <f t="shared" si="9"/>
        <v>4656.6327782990502</v>
      </c>
      <c r="R55" s="225">
        <f t="shared" si="9"/>
        <v>4308.1393431863125</v>
      </c>
      <c r="S55" s="225">
        <f t="shared" si="9"/>
        <v>3971.9649605103568</v>
      </c>
      <c r="T55" s="225">
        <f t="shared" si="9"/>
        <v>3648.4279418360288</v>
      </c>
      <c r="U55" s="225">
        <f t="shared" si="9"/>
        <v>3337.847825850331</v>
      </c>
      <c r="V55" s="9"/>
    </row>
    <row r="56" spans="1:22" s="9" customFormat="1" ht="25.9" customHeight="1" x14ac:dyDescent="0.2">
      <c r="A56" s="23"/>
      <c r="B56" s="24"/>
      <c r="C56" s="519"/>
      <c r="D56" s="195" t="s">
        <v>382</v>
      </c>
      <c r="E56" s="194"/>
      <c r="F56" s="200">
        <f t="shared" ref="F56:U56" si="10">F139+F57</f>
        <v>65656.164383561641</v>
      </c>
      <c r="G56" s="200">
        <f t="shared" si="10"/>
        <v>67902.190849315069</v>
      </c>
      <c r="H56" s="200">
        <f t="shared" si="10"/>
        <v>70214.652019726025</v>
      </c>
      <c r="I56" s="200">
        <f t="shared" si="10"/>
        <v>72595.363994630141</v>
      </c>
      <c r="J56" s="200">
        <f t="shared" si="10"/>
        <v>75046.190086419272</v>
      </c>
      <c r="K56" s="200">
        <f t="shared" si="10"/>
        <v>77569.042004952847</v>
      </c>
      <c r="L56" s="200">
        <f t="shared" si="10"/>
        <v>80256.978663563961</v>
      </c>
      <c r="M56" s="200">
        <f t="shared" si="10"/>
        <v>83024.873887725378</v>
      </c>
      <c r="N56" s="200">
        <f t="shared" si="10"/>
        <v>85874.920219715947</v>
      </c>
      <c r="O56" s="200">
        <f t="shared" si="10"/>
        <v>88809.367307565626</v>
      </c>
      <c r="P56" s="200">
        <f t="shared" si="10"/>
        <v>91830.523340018728</v>
      </c>
      <c r="Q56" s="200">
        <f t="shared" si="10"/>
        <v>94279.255495104153</v>
      </c>
      <c r="R56" s="200">
        <f t="shared" si="10"/>
        <v>96790.365255164957</v>
      </c>
      <c r="S56" s="200">
        <f t="shared" si="10"/>
        <v>99365.391442100139</v>
      </c>
      <c r="T56" s="200">
        <f t="shared" si="10"/>
        <v>102005.90994385416</v>
      </c>
      <c r="U56" s="200">
        <f t="shared" si="10"/>
        <v>104713.53459081378</v>
      </c>
      <c r="V56" s="177"/>
    </row>
    <row r="57" spans="1:22" s="177" customFormat="1" ht="25.9" customHeight="1" x14ac:dyDescent="0.2">
      <c r="A57" s="221"/>
      <c r="B57" s="222"/>
      <c r="C57" s="519"/>
      <c r="D57" s="223" t="s">
        <v>182</v>
      </c>
      <c r="E57" s="224"/>
      <c r="F57" s="225">
        <f t="shared" ref="F57:U57" si="11">F141</f>
        <v>2752.0547945205481</v>
      </c>
      <c r="G57" s="225">
        <f t="shared" si="11"/>
        <v>2846.1996164383563</v>
      </c>
      <c r="H57" s="225">
        <f t="shared" si="11"/>
        <v>2943.1291265753425</v>
      </c>
      <c r="I57" s="225">
        <f t="shared" si="11"/>
        <v>3042.9194488767125</v>
      </c>
      <c r="J57" s="225">
        <f t="shared" si="11"/>
        <v>3145.6486862570955</v>
      </c>
      <c r="K57" s="225">
        <f t="shared" si="11"/>
        <v>3251.3969702674854</v>
      </c>
      <c r="L57" s="225">
        <f t="shared" si="11"/>
        <v>3364.0649739218425</v>
      </c>
      <c r="M57" s="225">
        <f t="shared" si="11"/>
        <v>3480.0845342160342</v>
      </c>
      <c r="N57" s="225">
        <f t="shared" si="11"/>
        <v>3599.5475541198293</v>
      </c>
      <c r="O57" s="225">
        <f t="shared" si="11"/>
        <v>3722.5483302572416</v>
      </c>
      <c r="P57" s="225">
        <f t="shared" si="11"/>
        <v>3849.1836130546776</v>
      </c>
      <c r="Q57" s="225">
        <f t="shared" si="11"/>
        <v>3951.8250806331084</v>
      </c>
      <c r="R57" s="225">
        <f t="shared" si="11"/>
        <v>4057.0811783602066</v>
      </c>
      <c r="S57" s="225">
        <f t="shared" si="11"/>
        <v>4165.0164077527006</v>
      </c>
      <c r="T57" s="225">
        <f t="shared" si="11"/>
        <v>4275.6968239938878</v>
      </c>
      <c r="U57" s="225">
        <f t="shared" si="11"/>
        <v>4389.1900726688409</v>
      </c>
      <c r="V57" s="9"/>
    </row>
    <row r="58" spans="1:22" s="9" customFormat="1" ht="25.9" customHeight="1" x14ac:dyDescent="0.2">
      <c r="A58" s="23"/>
      <c r="B58" s="24"/>
      <c r="C58" s="519"/>
      <c r="D58" s="195" t="s">
        <v>89</v>
      </c>
      <c r="E58" s="194"/>
      <c r="F58" s="200">
        <f>((F97*$E$23*(1+$E$23)^$E$9))/((1+$E$23)^$E$9-1)-F49</f>
        <v>30337.488725417417</v>
      </c>
      <c r="G58" s="200">
        <f t="shared" ref="G58:U58" si="12">((G97*$E$23*(1+$E$23)^$E$9))/((1+$E$23)^$E$9-1)-G49</f>
        <v>29285.184293487509</v>
      </c>
      <c r="H58" s="200">
        <f t="shared" si="12"/>
        <v>28232.879861557572</v>
      </c>
      <c r="I58" s="312">
        <f t="shared" si="12"/>
        <v>27180.575429627665</v>
      </c>
      <c r="J58" s="200">
        <f t="shared" si="12"/>
        <v>26128.270997697728</v>
      </c>
      <c r="K58" s="200">
        <f t="shared" si="12"/>
        <v>25075.96656576782</v>
      </c>
      <c r="L58" s="200">
        <f t="shared" si="12"/>
        <v>24286.389558040377</v>
      </c>
      <c r="M58" s="200">
        <f t="shared" si="12"/>
        <v>23510.948863332109</v>
      </c>
      <c r="N58" s="200">
        <f t="shared" si="12"/>
        <v>22749.644481643125</v>
      </c>
      <c r="O58" s="200">
        <f t="shared" si="12"/>
        <v>22002.476412973338</v>
      </c>
      <c r="P58" s="200">
        <f t="shared" si="12"/>
        <v>21269.444657322834</v>
      </c>
      <c r="Q58" s="200">
        <f t="shared" si="12"/>
        <v>20707.807771771702</v>
      </c>
      <c r="R58" s="200">
        <f t="shared" si="12"/>
        <v>20153.353939586515</v>
      </c>
      <c r="S58" s="200">
        <f t="shared" si="12"/>
        <v>19606.083160767274</v>
      </c>
      <c r="T58" s="200">
        <f t="shared" si="12"/>
        <v>19065.995435313976</v>
      </c>
      <c r="U58" s="200">
        <f t="shared" si="12"/>
        <v>18533.090763226617</v>
      </c>
    </row>
    <row r="59" spans="1:22" s="9" customFormat="1" ht="25.9" customHeight="1" x14ac:dyDescent="0.2">
      <c r="A59" s="23"/>
      <c r="B59" s="24"/>
      <c r="C59" s="519"/>
      <c r="D59" s="195" t="s">
        <v>88</v>
      </c>
      <c r="E59" s="194"/>
      <c r="F59" s="200">
        <f>F148*F150+F153</f>
        <v>31949.797523066212</v>
      </c>
      <c r="G59" s="200">
        <f t="shared" ref="G59:U59" si="13">G148*G150+G153</f>
        <v>30676.576371769283</v>
      </c>
      <c r="H59" s="200">
        <f t="shared" si="13"/>
        <v>29349.682535469008</v>
      </c>
      <c r="I59" s="200">
        <f t="shared" si="13"/>
        <v>27967.366734397969</v>
      </c>
      <c r="J59" s="200">
        <f t="shared" si="13"/>
        <v>26527.827953831744</v>
      </c>
      <c r="K59" s="200">
        <f t="shared" si="13"/>
        <v>25029.212003135628</v>
      </c>
      <c r="L59" s="200">
        <f t="shared" si="13"/>
        <v>23296.967273842987</v>
      </c>
      <c r="M59" s="200">
        <f t="shared" si="13"/>
        <v>21495.495049608318</v>
      </c>
      <c r="N59" s="200">
        <f t="shared" si="13"/>
        <v>19622.578046006089</v>
      </c>
      <c r="O59" s="200">
        <f t="shared" si="13"/>
        <v>17675.934027720705</v>
      </c>
      <c r="P59" s="200">
        <f t="shared" si="13"/>
        <v>15653.214010110121</v>
      </c>
      <c r="Q59" s="200">
        <f t="shared" si="13"/>
        <v>14784.558854344181</v>
      </c>
      <c r="R59" s="200">
        <f t="shared" si="13"/>
        <v>13881.010960365376</v>
      </c>
      <c r="S59" s="200">
        <f t="shared" si="13"/>
        <v>12941.459136452842</v>
      </c>
      <c r="T59" s="200">
        <f t="shared" si="13"/>
        <v>11964.760036036192</v>
      </c>
      <c r="U59" s="200">
        <f t="shared" si="13"/>
        <v>10949.737279632398</v>
      </c>
    </row>
    <row r="60" spans="1:22" s="9" customFormat="1" ht="25.9" customHeight="1" x14ac:dyDescent="0.2">
      <c r="A60" s="23"/>
      <c r="B60" s="24"/>
      <c r="C60" s="519"/>
      <c r="D60" s="195" t="s">
        <v>87</v>
      </c>
      <c r="E60" s="194"/>
      <c r="F60" s="200">
        <f>F97*$E$25</f>
        <v>35633.599999999999</v>
      </c>
      <c r="G60" s="200">
        <f t="shared" ref="G60:U60" si="14">G97*$E$25</f>
        <v>34397.591458060226</v>
      </c>
      <c r="H60" s="200">
        <f t="shared" si="14"/>
        <v>33161.582916120416</v>
      </c>
      <c r="I60" s="200">
        <f t="shared" si="14"/>
        <v>31925.574374180636</v>
      </c>
      <c r="J60" s="200">
        <f t="shared" si="14"/>
        <v>30689.565832240827</v>
      </c>
      <c r="K60" s="200">
        <f t="shared" si="14"/>
        <v>29453.557290301054</v>
      </c>
      <c r="L60" s="200">
        <f t="shared" si="14"/>
        <v>28526.14132923686</v>
      </c>
      <c r="M60" s="200">
        <f t="shared" si="14"/>
        <v>27615.329502027002</v>
      </c>
      <c r="N60" s="200">
        <f t="shared" si="14"/>
        <v>26721.121808671545</v>
      </c>
      <c r="O60" s="200">
        <f t="shared" si="14"/>
        <v>25843.518249170425</v>
      </c>
      <c r="P60" s="200">
        <f t="shared" si="14"/>
        <v>24982.518823523715</v>
      </c>
      <c r="Q60" s="200">
        <f t="shared" si="14"/>
        <v>24322.835212064874</v>
      </c>
      <c r="R60" s="200">
        <f t="shared" si="14"/>
        <v>23671.588622296866</v>
      </c>
      <c r="S60" s="200">
        <f t="shared" si="14"/>
        <v>23028.779054219627</v>
      </c>
      <c r="T60" s="200">
        <f t="shared" si="14"/>
        <v>22394.406507833191</v>
      </c>
      <c r="U60" s="200">
        <f t="shared" si="14"/>
        <v>21768.470983137559</v>
      </c>
    </row>
    <row r="61" spans="1:22" s="9" customFormat="1" ht="25.9" customHeight="1" x14ac:dyDescent="0.2">
      <c r="A61" s="23"/>
      <c r="B61" s="24"/>
      <c r="C61" s="519"/>
      <c r="D61" s="195" t="s">
        <v>90</v>
      </c>
      <c r="E61" s="194"/>
      <c r="F61" s="200">
        <f t="shared" ref="F61:U61" si="15">F160+F161+F163</f>
        <v>0</v>
      </c>
      <c r="G61" s="200">
        <f t="shared" si="15"/>
        <v>0</v>
      </c>
      <c r="H61" s="200">
        <f t="shared" si="15"/>
        <v>0</v>
      </c>
      <c r="I61" s="200">
        <f t="shared" si="15"/>
        <v>0</v>
      </c>
      <c r="J61" s="200">
        <f t="shared" si="15"/>
        <v>0</v>
      </c>
      <c r="K61" s="200">
        <f t="shared" si="15"/>
        <v>0</v>
      </c>
      <c r="L61" s="200">
        <f t="shared" si="15"/>
        <v>0</v>
      </c>
      <c r="M61" s="200">
        <f t="shared" si="15"/>
        <v>0</v>
      </c>
      <c r="N61" s="200">
        <f t="shared" si="15"/>
        <v>0</v>
      </c>
      <c r="O61" s="200">
        <f t="shared" si="15"/>
        <v>0</v>
      </c>
      <c r="P61" s="200">
        <f t="shared" si="15"/>
        <v>0</v>
      </c>
      <c r="Q61" s="200">
        <f t="shared" si="15"/>
        <v>0</v>
      </c>
      <c r="R61" s="200">
        <f t="shared" si="15"/>
        <v>0</v>
      </c>
      <c r="S61" s="200">
        <f t="shared" si="15"/>
        <v>0</v>
      </c>
      <c r="T61" s="200">
        <f t="shared" si="15"/>
        <v>0</v>
      </c>
      <c r="U61" s="200">
        <f t="shared" si="15"/>
        <v>0</v>
      </c>
    </row>
    <row r="62" spans="1:22" s="9" customFormat="1" ht="25.9" customHeight="1" x14ac:dyDescent="0.2">
      <c r="A62" s="23"/>
      <c r="B62" s="24"/>
      <c r="C62" s="519"/>
      <c r="D62" s="213" t="s">
        <v>81</v>
      </c>
      <c r="E62" s="213"/>
      <c r="F62" s="214">
        <f>((F63+F78+IF(Input!$G$12="Yes",'Cost analysis'!F75,0)+IF(Input!$J$12="Yes",'Cost analysis'!F76,0)+IF(Input!$M$12="Yes",'Cost analysis'!F77,0))/IF(Input!$G$12="Yes",$E$192,F114))*F83</f>
        <v>0</v>
      </c>
      <c r="G62" s="214">
        <f>((G63+G78+IF(Input!$G$12="Yes",'Cost analysis'!G75,0)+IF(Input!$J$12="Yes",'Cost analysis'!G76,0)+IF(Input!$M$12="Yes",'Cost analysis'!G77,0))/IF(Input!$G$12="Yes",$E$192,G114))*G83</f>
        <v>0</v>
      </c>
      <c r="H62" s="214">
        <f>((H63+H78+IF(Input!$G$12="Yes",'Cost analysis'!H75,0)+IF(Input!$J$12="Yes",'Cost analysis'!H76,0)+IF(Input!$M$12="Yes",'Cost analysis'!H77,0))/IF(Input!$G$12="Yes",$E$192,H114))*H83</f>
        <v>0</v>
      </c>
      <c r="I62" s="214">
        <f>((I63+I78+IF(Input!$G$12="Yes",'Cost analysis'!I75,0)+IF(Input!$J$12="Yes",'Cost analysis'!I76,0)+IF(Input!$M$12="Yes",'Cost analysis'!I77,0))/IF(Input!$G$12="Yes",$E$192,I114))*I83</f>
        <v>0</v>
      </c>
      <c r="J62" s="214">
        <f>((J63+J78+IF(Input!$G$12="Yes",'Cost analysis'!J75,0)+IF(Input!$J$12="Yes",'Cost analysis'!J76,0)+IF(Input!$M$12="Yes",'Cost analysis'!J77,0))/IF(Input!$G$12="Yes",$E$192,J114))*J83</f>
        <v>0</v>
      </c>
      <c r="K62" s="214">
        <f>((K63+K78+IF(Input!$G$12="Yes",'Cost analysis'!K75,0)+IF(Input!$J$12="Yes",'Cost analysis'!K76,0)+IF(Input!$M$12="Yes",'Cost analysis'!K77,0))/IF(Input!$G$12="Yes",$E$192,K114))*K83</f>
        <v>0</v>
      </c>
      <c r="L62" s="214">
        <f>((L63+L78+IF(Input!$G$12="Yes",'Cost analysis'!L75,0)+IF(Input!$J$12="Yes",'Cost analysis'!L76,0)+IF(Input!$M$12="Yes",'Cost analysis'!L77,0))/IF(Input!$G$12="Yes",$E$192,L114))*L83</f>
        <v>0</v>
      </c>
      <c r="M62" s="214">
        <f>((M63+M78+IF(Input!$G$12="Yes",'Cost analysis'!M75,0)+IF(Input!$J$12="Yes",'Cost analysis'!M76,0)+IF(Input!$M$12="Yes",'Cost analysis'!M77,0))/IF(Input!$G$12="Yes",$E$192,M114))*M83</f>
        <v>0</v>
      </c>
      <c r="N62" s="214">
        <f>((N63+N78+IF(Input!$G$12="Yes",'Cost analysis'!N75,0)+IF(Input!$J$12="Yes",'Cost analysis'!N76,0)+IF(Input!$M$12="Yes",'Cost analysis'!N77,0))/IF(Input!$G$12="Yes",$E$192,N114))*N83</f>
        <v>0</v>
      </c>
      <c r="O62" s="214">
        <f>((O63+O78+IF(Input!$G$12="Yes",'Cost analysis'!O75,0)+IF(Input!$J$12="Yes",'Cost analysis'!O76,0)+IF(Input!$M$12="Yes",'Cost analysis'!O77,0))/IF(Input!$G$12="Yes",$E$192,O114))*O83</f>
        <v>0</v>
      </c>
      <c r="P62" s="214">
        <f>((P63+P78+IF(Input!$G$12="Yes",'Cost analysis'!P75,0)+IF(Input!$J$12="Yes",'Cost analysis'!P76,0)+IF(Input!$M$12="Yes",'Cost analysis'!P77,0))/IF(Input!$G$12="Yes",$E$192,P114))*P83</f>
        <v>0</v>
      </c>
      <c r="Q62" s="214">
        <f>((Q63+Q78+IF(Input!$G$12="Yes",'Cost analysis'!Q75,0)+IF(Input!$J$12="Yes",'Cost analysis'!Q76,0)+IF(Input!$M$12="Yes",'Cost analysis'!Q77,0))/IF(Input!$G$12="Yes",$E$192,Q114))*Q83</f>
        <v>0</v>
      </c>
      <c r="R62" s="214">
        <f>((R63+R78+IF(Input!$G$12="Yes",'Cost analysis'!R75,0)+IF(Input!$J$12="Yes",'Cost analysis'!R76,0)+IF(Input!$M$12="Yes",'Cost analysis'!R77,0))/IF(Input!$G$12="Yes",$E$192,R114))*R83</f>
        <v>0</v>
      </c>
      <c r="S62" s="214">
        <f>((S63+S78+IF(Input!$G$12="Yes",'Cost analysis'!S75,0)+IF(Input!$J$12="Yes",'Cost analysis'!S76,0)+IF(Input!$M$12="Yes",'Cost analysis'!S77,0))/IF(Input!$G$12="Yes",$E$192,S114))*S83</f>
        <v>0</v>
      </c>
      <c r="T62" s="214">
        <f>((T63+T78+IF(Input!$G$12="Yes",'Cost analysis'!T75,0)+IF(Input!$J$12="Yes",'Cost analysis'!T76,0)+IF(Input!$M$12="Yes",'Cost analysis'!T77,0))/IF(Input!$G$12="Yes",$E$192,T114))*T83</f>
        <v>0</v>
      </c>
      <c r="U62" s="214">
        <f>((U63+U78+IF(Input!$G$12="Yes",'Cost analysis'!U75,0)+IF(Input!$J$12="Yes",'Cost analysis'!U76,0)+IF(Input!$M$12="Yes",'Cost analysis'!U77,0))/IF(Input!$G$12="Yes",$E$192,U114))*U83</f>
        <v>0</v>
      </c>
    </row>
    <row r="63" spans="1:22" s="9" customFormat="1" ht="25.9" customHeight="1" x14ac:dyDescent="0.2">
      <c r="A63" s="23"/>
      <c r="B63" s="24"/>
      <c r="C63" s="519"/>
      <c r="D63" s="213" t="s">
        <v>149</v>
      </c>
      <c r="E63" s="213"/>
      <c r="F63" s="215">
        <f t="shared" ref="F63:U63" si="16">F65+F66+F67+F74+F72</f>
        <v>261624.58400725148</v>
      </c>
      <c r="G63" s="215">
        <f t="shared" si="16"/>
        <v>258508.04627528891</v>
      </c>
      <c r="H63" s="215">
        <f t="shared" si="16"/>
        <v>255413.91813442091</v>
      </c>
      <c r="I63" s="215">
        <f t="shared" si="16"/>
        <v>252343.65788099164</v>
      </c>
      <c r="J63" s="215">
        <f t="shared" si="16"/>
        <v>249298.76738238521</v>
      </c>
      <c r="K63" s="215">
        <f t="shared" si="16"/>
        <v>246304.40429088863</v>
      </c>
      <c r="L63" s="215">
        <f t="shared" si="16"/>
        <v>245705.26511668318</v>
      </c>
      <c r="M63" s="215">
        <f t="shared" si="16"/>
        <v>245295.01925411518</v>
      </c>
      <c r="N63" s="215">
        <f t="shared" si="16"/>
        <v>245076.77654942952</v>
      </c>
      <c r="O63" s="215">
        <f t="shared" si="16"/>
        <v>245053.70990107241</v>
      </c>
      <c r="P63" s="215">
        <f t="shared" si="16"/>
        <v>245229.0566772407</v>
      </c>
      <c r="Q63" s="215">
        <f t="shared" si="16"/>
        <v>245849.65356874809</v>
      </c>
      <c r="R63" s="215">
        <f t="shared" si="16"/>
        <v>246575.61538246757</v>
      </c>
      <c r="S63" s="215">
        <f t="shared" si="16"/>
        <v>247408.10503681327</v>
      </c>
      <c r="T63" s="215">
        <f t="shared" si="16"/>
        <v>248348.32036197273</v>
      </c>
      <c r="U63" s="215">
        <f t="shared" si="16"/>
        <v>249397.49496026954</v>
      </c>
    </row>
    <row r="64" spans="1:22" s="9" customFormat="1" ht="25.9" customHeight="1" x14ac:dyDescent="0.2">
      <c r="A64" s="23"/>
      <c r="B64" s="24"/>
      <c r="C64" s="519"/>
      <c r="D64" s="213" t="s">
        <v>150</v>
      </c>
      <c r="E64" s="213"/>
      <c r="F64" s="215">
        <f t="shared" ref="F64:U64" si="17">F65+F66+F67+F76+F75+F74+F72+F77</f>
        <v>346536.08332702093</v>
      </c>
      <c r="G64" s="215">
        <f t="shared" si="17"/>
        <v>340002.60602217494</v>
      </c>
      <c r="H64" s="215">
        <f t="shared" si="17"/>
        <v>333426.17338841734</v>
      </c>
      <c r="I64" s="215">
        <f t="shared" si="17"/>
        <v>326806.19883718394</v>
      </c>
      <c r="J64" s="215">
        <f t="shared" si="17"/>
        <v>320142.08080792031</v>
      </c>
      <c r="K64" s="215">
        <f t="shared" si="17"/>
        <v>313456.81337635766</v>
      </c>
      <c r="L64" s="215">
        <f t="shared" si="17"/>
        <v>309724.67495363066</v>
      </c>
      <c r="M64" s="215">
        <f t="shared" si="17"/>
        <v>306147.40523850889</v>
      </c>
      <c r="N64" s="215">
        <f t="shared" si="17"/>
        <v>302725.53430173936</v>
      </c>
      <c r="O64" s="215">
        <f t="shared" si="17"/>
        <v>299459.58192128467</v>
      </c>
      <c r="P64" s="215">
        <f t="shared" si="17"/>
        <v>296350.05699707649</v>
      </c>
      <c r="Q64" s="215">
        <f t="shared" si="17"/>
        <v>295359.90735962824</v>
      </c>
      <c r="R64" s="215">
        <f t="shared" si="17"/>
        <v>294460.56256225629</v>
      </c>
      <c r="S64" s="215">
        <f t="shared" si="17"/>
        <v>293651.89657886361</v>
      </c>
      <c r="T64" s="215">
        <f t="shared" si="17"/>
        <v>292933.78205462155</v>
      </c>
      <c r="U64" s="215">
        <f t="shared" si="17"/>
        <v>292306.09018885816</v>
      </c>
    </row>
    <row r="65" spans="1:21" s="198" customFormat="1" ht="25.9" customHeight="1" x14ac:dyDescent="0.2">
      <c r="A65" s="196"/>
      <c r="B65" s="197"/>
      <c r="C65" s="519"/>
      <c r="D65" s="195" t="s">
        <v>82</v>
      </c>
      <c r="E65" s="195"/>
      <c r="F65" s="199">
        <f t="shared" ref="F65:U65" si="18">F98/$E$9</f>
        <v>79308.333333333328</v>
      </c>
      <c r="G65" s="199">
        <f t="shared" si="18"/>
        <v>76123.971201600943</v>
      </c>
      <c r="H65" s="199">
        <f t="shared" si="18"/>
        <v>72939.609069868646</v>
      </c>
      <c r="I65" s="199">
        <f t="shared" si="18"/>
        <v>69755.246938136246</v>
      </c>
      <c r="J65" s="199">
        <f t="shared" si="18"/>
        <v>66570.884806403948</v>
      </c>
      <c r="K65" s="199">
        <f t="shared" si="18"/>
        <v>63386.522674671556</v>
      </c>
      <c r="L65" s="199">
        <f t="shared" si="18"/>
        <v>61596.389368485165</v>
      </c>
      <c r="M65" s="199">
        <f t="shared" si="18"/>
        <v>59889.097073495293</v>
      </c>
      <c r="N65" s="199">
        <f t="shared" si="18"/>
        <v>58264.645789701965</v>
      </c>
      <c r="O65" s="199">
        <f t="shared" si="18"/>
        <v>56723.035517105011</v>
      </c>
      <c r="P65" s="199">
        <f t="shared" si="18"/>
        <v>55264.266255704591</v>
      </c>
      <c r="Q65" s="199">
        <f t="shared" si="18"/>
        <v>54314.735582082532</v>
      </c>
      <c r="R65" s="199">
        <f t="shared" si="18"/>
        <v>53411.312691212654</v>
      </c>
      <c r="S65" s="199">
        <f t="shared" si="18"/>
        <v>52553.997583094933</v>
      </c>
      <c r="T65" s="199">
        <f t="shared" si="18"/>
        <v>51742.790257729328</v>
      </c>
      <c r="U65" s="199">
        <f t="shared" si="18"/>
        <v>50977.690715115961</v>
      </c>
    </row>
    <row r="66" spans="1:21" s="9" customFormat="1" ht="25.9" customHeight="1" x14ac:dyDescent="0.2">
      <c r="A66" s="23"/>
      <c r="B66" s="24"/>
      <c r="C66" s="519"/>
      <c r="D66" s="195" t="s">
        <v>83</v>
      </c>
      <c r="E66" s="194"/>
      <c r="F66" s="200">
        <f t="shared" ref="F66:U66" si="19">F108*F114/100*F118</f>
        <v>35034.616166666659</v>
      </c>
      <c r="G66" s="200">
        <f t="shared" si="19"/>
        <v>35499.058571551526</v>
      </c>
      <c r="H66" s="200">
        <f t="shared" si="19"/>
        <v>35961.380620895914</v>
      </c>
      <c r="I66" s="200">
        <f t="shared" si="19"/>
        <v>36421.411165655882</v>
      </c>
      <c r="J66" s="200">
        <f t="shared" si="19"/>
        <v>36878.975132560816</v>
      </c>
      <c r="K66" s="200">
        <f t="shared" si="19"/>
        <v>37333.893457394821</v>
      </c>
      <c r="L66" s="200">
        <f t="shared" si="19"/>
        <v>38010.213336329252</v>
      </c>
      <c r="M66" s="200">
        <f t="shared" si="19"/>
        <v>38691.795852020128</v>
      </c>
      <c r="N66" s="200">
        <f t="shared" si="19"/>
        <v>39378.629760181058</v>
      </c>
      <c r="O66" s="200">
        <f t="shared" si="19"/>
        <v>40070.702629434338</v>
      </c>
      <c r="P66" s="200">
        <f t="shared" si="19"/>
        <v>40768.000815304302</v>
      </c>
      <c r="Q66" s="200">
        <f t="shared" si="19"/>
        <v>41124.052645012169</v>
      </c>
      <c r="R66" s="200">
        <f t="shared" si="19"/>
        <v>41480.373520396097</v>
      </c>
      <c r="S66" s="200">
        <f t="shared" si="19"/>
        <v>41836.909751877756</v>
      </c>
      <c r="T66" s="200">
        <f t="shared" si="19"/>
        <v>42193.606373635565</v>
      </c>
      <c r="U66" s="200">
        <f t="shared" si="19"/>
        <v>42550.407122322074</v>
      </c>
    </row>
    <row r="67" spans="1:21" s="9" customFormat="1" ht="25.9" customHeight="1" x14ac:dyDescent="0.2">
      <c r="A67" s="23"/>
      <c r="B67" s="24"/>
      <c r="C67" s="519"/>
      <c r="D67" s="195" t="s">
        <v>84</v>
      </c>
      <c r="E67" s="194"/>
      <c r="F67" s="200">
        <f>SUM(F68:F71)</f>
        <v>40719.73016910872</v>
      </c>
      <c r="G67" s="200">
        <f t="shared" ref="G67:U67" si="20">SUM(G68:G71)</f>
        <v>39690.284606028035</v>
      </c>
      <c r="H67" s="200">
        <f t="shared" si="20"/>
        <v>38618.536472321997</v>
      </c>
      <c r="I67" s="200">
        <f t="shared" si="20"/>
        <v>37504.288238694047</v>
      </c>
      <c r="J67" s="200">
        <f t="shared" si="20"/>
        <v>36347.342375847555</v>
      </c>
      <c r="K67" s="200">
        <f t="shared" si="20"/>
        <v>35171.112443061829</v>
      </c>
      <c r="L67" s="200">
        <f t="shared" si="20"/>
        <v>33896.197420694778</v>
      </c>
      <c r="M67" s="200">
        <f t="shared" si="20"/>
        <v>32599.317537230716</v>
      </c>
      <c r="N67" s="200">
        <f t="shared" si="20"/>
        <v>31281.388211926442</v>
      </c>
      <c r="O67" s="200">
        <f t="shared" si="20"/>
        <v>29943.331655629729</v>
      </c>
      <c r="P67" s="200">
        <f t="shared" si="20"/>
        <v>28586.076870779165</v>
      </c>
      <c r="Q67" s="200">
        <f t="shared" si="20"/>
        <v>27821.800311871833</v>
      </c>
      <c r="R67" s="200">
        <f t="shared" si="20"/>
        <v>27030.207767440828</v>
      </c>
      <c r="S67" s="200">
        <f t="shared" si="20"/>
        <v>26210.967809077174</v>
      </c>
      <c r="T67" s="200">
        <f t="shared" si="20"/>
        <v>25363.747908390978</v>
      </c>
      <c r="U67" s="200">
        <f t="shared" si="20"/>
        <v>24488.214437011222</v>
      </c>
    </row>
    <row r="68" spans="1:21" s="177" customFormat="1" ht="25.9" customHeight="1" x14ac:dyDescent="0.2">
      <c r="A68" s="221"/>
      <c r="B68" s="222"/>
      <c r="C68" s="519"/>
      <c r="D68" s="223" t="s">
        <v>85</v>
      </c>
      <c r="E68" s="224"/>
      <c r="F68" s="225">
        <f t="shared" ref="F68:U68" si="21">F126*F114</f>
        <v>7460.6607510287849</v>
      </c>
      <c r="G68" s="225">
        <f t="shared" si="21"/>
        <v>7516.2695647593846</v>
      </c>
      <c r="H68" s="225">
        <f t="shared" si="21"/>
        <v>7570.8585928888688</v>
      </c>
      <c r="I68" s="225">
        <f t="shared" si="21"/>
        <v>7624.4218575786199</v>
      </c>
      <c r="J68" s="225">
        <f t="shared" si="21"/>
        <v>7676.9533809899958</v>
      </c>
      <c r="K68" s="225">
        <f t="shared" si="21"/>
        <v>7728.4471852843835</v>
      </c>
      <c r="L68" s="225">
        <f t="shared" si="21"/>
        <v>7787.7369486374919</v>
      </c>
      <c r="M68" s="225">
        <f t="shared" si="21"/>
        <v>7845.8894054489565</v>
      </c>
      <c r="N68" s="225">
        <f t="shared" si="21"/>
        <v>7902.8979800962752</v>
      </c>
      <c r="O68" s="225">
        <f t="shared" si="21"/>
        <v>7958.7560969569768</v>
      </c>
      <c r="P68" s="225">
        <f t="shared" si="21"/>
        <v>8013.4571804085654</v>
      </c>
      <c r="Q68" s="225">
        <f t="shared" si="21"/>
        <v>8010.7877590714106</v>
      </c>
      <c r="R68" s="225">
        <f t="shared" si="21"/>
        <v>8007.4996647995131</v>
      </c>
      <c r="S68" s="225">
        <f t="shared" si="21"/>
        <v>8003.5909049799966</v>
      </c>
      <c r="T68" s="225">
        <f t="shared" si="21"/>
        <v>7999.0594869999859</v>
      </c>
      <c r="U68" s="225">
        <f t="shared" si="21"/>
        <v>7993.9034182466075</v>
      </c>
    </row>
    <row r="69" spans="1:21" s="177" customFormat="1" ht="25.9" customHeight="1" x14ac:dyDescent="0.2">
      <c r="A69" s="221"/>
      <c r="B69" s="222"/>
      <c r="C69" s="519"/>
      <c r="D69" s="223" t="s">
        <v>137</v>
      </c>
      <c r="E69" s="224"/>
      <c r="F69" s="225">
        <f t="shared" ref="F69:U69" si="22">F132*F114</f>
        <v>12568.63968800389</v>
      </c>
      <c r="G69" s="225">
        <f t="shared" si="22"/>
        <v>12024.592927298338</v>
      </c>
      <c r="H69" s="225">
        <f t="shared" si="22"/>
        <v>11461.252175695054</v>
      </c>
      <c r="I69" s="225">
        <f t="shared" si="22"/>
        <v>10878.52846781731</v>
      </c>
      <c r="J69" s="225">
        <f t="shared" si="22"/>
        <v>10276.332838288332</v>
      </c>
      <c r="K69" s="225">
        <f t="shared" si="22"/>
        <v>9654.5763217313615</v>
      </c>
      <c r="L69" s="225">
        <f t="shared" si="22"/>
        <v>9127.7699490900704</v>
      </c>
      <c r="M69" s="225">
        <f t="shared" si="22"/>
        <v>8566.986344003315</v>
      </c>
      <c r="N69" s="225">
        <f t="shared" si="22"/>
        <v>7971.4882833196452</v>
      </c>
      <c r="O69" s="225">
        <f t="shared" si="22"/>
        <v>7340.5346616541019</v>
      </c>
      <c r="P69" s="225">
        <f t="shared" si="22"/>
        <v>6673.3804913881622</v>
      </c>
      <c r="Q69" s="225">
        <f t="shared" si="22"/>
        <v>6262.722792587906</v>
      </c>
      <c r="R69" s="225">
        <f t="shared" si="22"/>
        <v>5857.4110974313298</v>
      </c>
      <c r="S69" s="225">
        <f t="shared" si="22"/>
        <v>5457.6460170703067</v>
      </c>
      <c r="T69" s="225">
        <f t="shared" si="22"/>
        <v>5063.6289665739978</v>
      </c>
      <c r="U69" s="225">
        <f t="shared" si="22"/>
        <v>4675.5621649287086</v>
      </c>
    </row>
    <row r="70" spans="1:21" s="177" customFormat="1" ht="25.9" customHeight="1" x14ac:dyDescent="0.2">
      <c r="A70" s="221"/>
      <c r="B70" s="222"/>
      <c r="C70" s="519"/>
      <c r="D70" s="223" t="s">
        <v>138</v>
      </c>
      <c r="E70" s="224"/>
      <c r="F70" s="225">
        <f t="shared" ref="F70:U70" si="23">F133*F114</f>
        <v>7058.3635925099206</v>
      </c>
      <c r="G70" s="225">
        <f t="shared" si="23"/>
        <v>7080.3082178554414</v>
      </c>
      <c r="H70" s="225">
        <f t="shared" si="23"/>
        <v>7100.4428923095202</v>
      </c>
      <c r="I70" s="225">
        <f t="shared" si="23"/>
        <v>7118.7581666617034</v>
      </c>
      <c r="J70" s="225">
        <f t="shared" si="23"/>
        <v>7135.2445917015257</v>
      </c>
      <c r="K70" s="225">
        <f t="shared" si="23"/>
        <v>7149.8927182185398</v>
      </c>
      <c r="L70" s="225">
        <f t="shared" si="23"/>
        <v>7120.1553054047599</v>
      </c>
      <c r="M70" s="225">
        <f t="shared" si="23"/>
        <v>7086.9627575039685</v>
      </c>
      <c r="N70" s="225">
        <f t="shared" si="23"/>
        <v>7050.2982383988146</v>
      </c>
      <c r="O70" s="225">
        <f t="shared" si="23"/>
        <v>7010.1449119719382</v>
      </c>
      <c r="P70" s="225">
        <f t="shared" si="23"/>
        <v>6966.4859421060119</v>
      </c>
      <c r="Q70" s="225">
        <f t="shared" si="23"/>
        <v>6948.1239193789434</v>
      </c>
      <c r="R70" s="225">
        <f t="shared" si="23"/>
        <v>6929.0169861444901</v>
      </c>
      <c r="S70" s="225">
        <f t="shared" si="23"/>
        <v>6909.1628608422598</v>
      </c>
      <c r="T70" s="225">
        <f t="shared" si="23"/>
        <v>6888.5592620284469</v>
      </c>
      <c r="U70" s="225">
        <f t="shared" si="23"/>
        <v>6867.2039083758509</v>
      </c>
    </row>
    <row r="71" spans="1:21" s="177" customFormat="1" ht="25.9" customHeight="1" x14ac:dyDescent="0.2">
      <c r="A71" s="221"/>
      <c r="B71" s="222"/>
      <c r="C71" s="519"/>
      <c r="D71" s="223" t="s">
        <v>86</v>
      </c>
      <c r="E71" s="224"/>
      <c r="F71" s="225">
        <f t="shared" ref="F71:U71" si="24">F136*F114</f>
        <v>13632.06613756612</v>
      </c>
      <c r="G71" s="225">
        <f t="shared" si="24"/>
        <v>13069.113896114875</v>
      </c>
      <c r="H71" s="225">
        <f t="shared" si="24"/>
        <v>12485.982811428557</v>
      </c>
      <c r="I71" s="225">
        <f t="shared" si="24"/>
        <v>11882.579746636411</v>
      </c>
      <c r="J71" s="225">
        <f t="shared" si="24"/>
        <v>11258.811564867705</v>
      </c>
      <c r="K71" s="225">
        <f t="shared" si="24"/>
        <v>10638.196217827546</v>
      </c>
      <c r="L71" s="225">
        <f t="shared" si="24"/>
        <v>9860.5352175624557</v>
      </c>
      <c r="M71" s="225">
        <f t="shared" si="24"/>
        <v>9099.4790302744732</v>
      </c>
      <c r="N71" s="225">
        <f t="shared" si="24"/>
        <v>8356.7037101117057</v>
      </c>
      <c r="O71" s="225">
        <f t="shared" si="24"/>
        <v>7633.8959850467127</v>
      </c>
      <c r="P71" s="225">
        <f t="shared" si="24"/>
        <v>6932.7532568764263</v>
      </c>
      <c r="Q71" s="225">
        <f t="shared" si="24"/>
        <v>6600.1658408335707</v>
      </c>
      <c r="R71" s="225">
        <f t="shared" si="24"/>
        <v>6236.2800190654962</v>
      </c>
      <c r="S71" s="225">
        <f t="shared" si="24"/>
        <v>5840.568026184611</v>
      </c>
      <c r="T71" s="225">
        <f t="shared" si="24"/>
        <v>5412.5001927885469</v>
      </c>
      <c r="U71" s="225">
        <f t="shared" si="24"/>
        <v>4951.5449454600584</v>
      </c>
    </row>
    <row r="72" spans="1:21" s="9" customFormat="1" ht="25.9" customHeight="1" x14ac:dyDescent="0.2">
      <c r="A72" s="23"/>
      <c r="B72" s="24"/>
      <c r="C72" s="519"/>
      <c r="D72" s="195" t="s">
        <v>382</v>
      </c>
      <c r="E72" s="194"/>
      <c r="F72" s="200">
        <f t="shared" ref="F72:U72" si="25">F139+F73</f>
        <v>66049.315068493146</v>
      </c>
      <c r="G72" s="200">
        <f t="shared" si="25"/>
        <v>68308.790794520552</v>
      </c>
      <c r="H72" s="200">
        <f t="shared" si="25"/>
        <v>70635.099037808221</v>
      </c>
      <c r="I72" s="200">
        <f t="shared" si="25"/>
        <v>73030.066773041108</v>
      </c>
      <c r="J72" s="200">
        <f t="shared" si="25"/>
        <v>75495.568470170285</v>
      </c>
      <c r="K72" s="200">
        <f t="shared" si="25"/>
        <v>78033.52728641963</v>
      </c>
      <c r="L72" s="200">
        <f t="shared" si="25"/>
        <v>80737.559374124219</v>
      </c>
      <c r="M72" s="200">
        <f t="shared" si="25"/>
        <v>83522.028821184809</v>
      </c>
      <c r="N72" s="200">
        <f t="shared" si="25"/>
        <v>86389.141298875926</v>
      </c>
      <c r="O72" s="200">
        <f t="shared" si="25"/>
        <v>89341.159926173801</v>
      </c>
      <c r="P72" s="200">
        <f t="shared" si="25"/>
        <v>92380.406713312259</v>
      </c>
      <c r="Q72" s="200">
        <f t="shared" si="25"/>
        <v>94843.801935194599</v>
      </c>
      <c r="R72" s="200">
        <f t="shared" si="25"/>
        <v>97369.948280644981</v>
      </c>
      <c r="S72" s="200">
        <f t="shared" si="25"/>
        <v>99960.393786064815</v>
      </c>
      <c r="T72" s="200">
        <f t="shared" si="25"/>
        <v>102616.72377585329</v>
      </c>
      <c r="U72" s="200">
        <f t="shared" si="25"/>
        <v>105340.56174405219</v>
      </c>
    </row>
    <row r="73" spans="1:21" s="177" customFormat="1" ht="25.9" customHeight="1" x14ac:dyDescent="0.2">
      <c r="A73" s="221"/>
      <c r="B73" s="222"/>
      <c r="C73" s="519"/>
      <c r="D73" s="223" t="s">
        <v>182</v>
      </c>
      <c r="E73" s="224"/>
      <c r="F73" s="225">
        <f t="shared" ref="F73:U73" si="26">F142</f>
        <v>3145.205479452055</v>
      </c>
      <c r="G73" s="225">
        <f t="shared" si="26"/>
        <v>3252.7995616438352</v>
      </c>
      <c r="H73" s="225">
        <f t="shared" si="26"/>
        <v>3363.5761446575339</v>
      </c>
      <c r="I73" s="225">
        <f t="shared" si="26"/>
        <v>3477.6222272876712</v>
      </c>
      <c r="J73" s="225">
        <f t="shared" si="26"/>
        <v>3595.0270700081091</v>
      </c>
      <c r="K73" s="225">
        <f t="shared" si="26"/>
        <v>3715.8822517342687</v>
      </c>
      <c r="L73" s="225">
        <f t="shared" si="26"/>
        <v>3844.6456844821064</v>
      </c>
      <c r="M73" s="225">
        <f t="shared" si="26"/>
        <v>3977.239467675467</v>
      </c>
      <c r="N73" s="225">
        <f t="shared" si="26"/>
        <v>4113.7686332798057</v>
      </c>
      <c r="O73" s="225">
        <f t="shared" si="26"/>
        <v>4254.3409488654188</v>
      </c>
      <c r="P73" s="225">
        <f t="shared" si="26"/>
        <v>4399.0669863482035</v>
      </c>
      <c r="Q73" s="225">
        <f t="shared" si="26"/>
        <v>4516.3715207235527</v>
      </c>
      <c r="R73" s="225">
        <f t="shared" si="26"/>
        <v>4636.664203840236</v>
      </c>
      <c r="S73" s="225">
        <f t="shared" si="26"/>
        <v>4760.0187517173727</v>
      </c>
      <c r="T73" s="225">
        <f t="shared" si="26"/>
        <v>4886.5106559930136</v>
      </c>
      <c r="U73" s="225">
        <f t="shared" si="26"/>
        <v>5016.2172259072468</v>
      </c>
    </row>
    <row r="74" spans="1:21" s="9" customFormat="1" ht="25.9" customHeight="1" x14ac:dyDescent="0.2">
      <c r="A74" s="23"/>
      <c r="B74" s="24"/>
      <c r="C74" s="519"/>
      <c r="D74" s="195" t="s">
        <v>89</v>
      </c>
      <c r="E74" s="194"/>
      <c r="F74" s="200">
        <f t="shared" ref="F74:U74" si="27">((F98*$E$23*(1+$E$23)^$E$9))/((1+$E$23)^$E$9-1)-F65</f>
        <v>40512.58926964963</v>
      </c>
      <c r="G74" s="200">
        <f t="shared" si="27"/>
        <v>38885.941101587872</v>
      </c>
      <c r="H74" s="200">
        <f t="shared" si="27"/>
        <v>37259.292933526129</v>
      </c>
      <c r="I74" s="200">
        <f t="shared" si="27"/>
        <v>35632.644765464342</v>
      </c>
      <c r="J74" s="200">
        <f t="shared" si="27"/>
        <v>34005.996597402584</v>
      </c>
      <c r="K74" s="200">
        <f t="shared" si="27"/>
        <v>32379.348429340804</v>
      </c>
      <c r="L74" s="200">
        <f t="shared" si="27"/>
        <v>31464.90561704975</v>
      </c>
      <c r="M74" s="200">
        <f t="shared" si="27"/>
        <v>30592.779970184209</v>
      </c>
      <c r="N74" s="200">
        <f t="shared" si="27"/>
        <v>29762.971488744144</v>
      </c>
      <c r="O74" s="200">
        <f t="shared" si="27"/>
        <v>28975.480172729534</v>
      </c>
      <c r="P74" s="200">
        <f t="shared" si="27"/>
        <v>28230.306022140408</v>
      </c>
      <c r="Q74" s="200">
        <f t="shared" si="27"/>
        <v>27745.263094586975</v>
      </c>
      <c r="R74" s="200">
        <f t="shared" si="27"/>
        <v>27283.773122773018</v>
      </c>
      <c r="S74" s="200">
        <f t="shared" si="27"/>
        <v>26845.836106698574</v>
      </c>
      <c r="T74" s="200">
        <f t="shared" si="27"/>
        <v>26431.452046363571</v>
      </c>
      <c r="U74" s="200">
        <f t="shared" si="27"/>
        <v>26040.620941768102</v>
      </c>
    </row>
    <row r="75" spans="1:21" s="9" customFormat="1" ht="25.9" customHeight="1" x14ac:dyDescent="0.2">
      <c r="A75" s="23"/>
      <c r="B75" s="24"/>
      <c r="C75" s="519"/>
      <c r="D75" s="195" t="s">
        <v>88</v>
      </c>
      <c r="E75" s="194"/>
      <c r="F75" s="200">
        <f>F149*F150+F154</f>
        <v>37326.499319769442</v>
      </c>
      <c r="G75" s="200">
        <f t="shared" ref="G75:U75" si="28">G149*G150+G154</f>
        <v>35820.177025925514</v>
      </c>
      <c r="H75" s="200">
        <f t="shared" si="28"/>
        <v>34248.489812075262</v>
      </c>
      <c r="I75" s="200">
        <f t="shared" si="28"/>
        <v>32609.392793310562</v>
      </c>
      <c r="J75" s="200">
        <f t="shared" si="28"/>
        <v>30900.782541692715</v>
      </c>
      <c r="K75" s="200">
        <f t="shared" si="28"/>
        <v>29120.495480666068</v>
      </c>
      <c r="L75" s="200">
        <f t="shared" si="28"/>
        <v>27061.576215856425</v>
      </c>
      <c r="M75" s="200">
        <f t="shared" si="28"/>
        <v>24918.927740296509</v>
      </c>
      <c r="N75" s="200">
        <f t="shared" si="28"/>
        <v>22689.970278488643</v>
      </c>
      <c r="O75" s="200">
        <f t="shared" si="28"/>
        <v>20372.050709949253</v>
      </c>
      <c r="P75" s="200">
        <f t="shared" si="28"/>
        <v>17962.440566412974</v>
      </c>
      <c r="Q75" s="200">
        <f t="shared" si="28"/>
        <v>16921.412441630622</v>
      </c>
      <c r="R75" s="200">
        <f t="shared" si="28"/>
        <v>15838.15956506114</v>
      </c>
      <c r="S75" s="200">
        <f t="shared" si="28"/>
        <v>14711.392992193414</v>
      </c>
      <c r="T75" s="200">
        <f t="shared" si="28"/>
        <v>13539.787538011253</v>
      </c>
      <c r="U75" s="200">
        <f t="shared" si="28"/>
        <v>12321.980799519013</v>
      </c>
    </row>
    <row r="76" spans="1:21" s="9" customFormat="1" ht="25.9" customHeight="1" x14ac:dyDescent="0.2">
      <c r="A76" s="23"/>
      <c r="B76" s="24"/>
      <c r="C76" s="519"/>
      <c r="D76" s="195" t="s">
        <v>87</v>
      </c>
      <c r="E76" s="194"/>
      <c r="F76" s="200">
        <f t="shared" ref="F76:U76" si="29">F98*$E$25</f>
        <v>47585</v>
      </c>
      <c r="G76" s="200">
        <f t="shared" si="29"/>
        <v>45674.382720960566</v>
      </c>
      <c r="H76" s="200">
        <f t="shared" si="29"/>
        <v>43763.76544192119</v>
      </c>
      <c r="I76" s="200">
        <f t="shared" si="29"/>
        <v>41853.148162881756</v>
      </c>
      <c r="J76" s="200">
        <f t="shared" si="29"/>
        <v>39942.530883842373</v>
      </c>
      <c r="K76" s="200">
        <f t="shared" si="29"/>
        <v>38031.91360480294</v>
      </c>
      <c r="L76" s="200">
        <f t="shared" si="29"/>
        <v>36957.8336210911</v>
      </c>
      <c r="M76" s="200">
        <f t="shared" si="29"/>
        <v>35933.458244097179</v>
      </c>
      <c r="N76" s="200">
        <f t="shared" si="29"/>
        <v>34958.787473821183</v>
      </c>
      <c r="O76" s="200">
        <f t="shared" si="29"/>
        <v>34033.821310263003</v>
      </c>
      <c r="P76" s="200">
        <f t="shared" si="29"/>
        <v>33158.559753422756</v>
      </c>
      <c r="Q76" s="200">
        <f t="shared" si="29"/>
        <v>32588.84134924952</v>
      </c>
      <c r="R76" s="200">
        <f t="shared" si="29"/>
        <v>32046.787614727593</v>
      </c>
      <c r="S76" s="200">
        <f t="shared" si="29"/>
        <v>31532.398549856964</v>
      </c>
      <c r="T76" s="200">
        <f t="shared" si="29"/>
        <v>31045.6741546376</v>
      </c>
      <c r="U76" s="200">
        <f t="shared" si="29"/>
        <v>30586.614429069581</v>
      </c>
    </row>
    <row r="77" spans="1:21" s="9" customFormat="1" ht="25.9" customHeight="1" x14ac:dyDescent="0.2">
      <c r="A77" s="23"/>
      <c r="B77" s="24"/>
      <c r="C77" s="519"/>
      <c r="D77" s="195" t="s">
        <v>90</v>
      </c>
      <c r="E77" s="194"/>
      <c r="F77" s="200">
        <f>F160+F161+F163</f>
        <v>0</v>
      </c>
      <c r="G77" s="200">
        <f t="shared" ref="G77:U77" si="30">G160+G161+G163</f>
        <v>0</v>
      </c>
      <c r="H77" s="200">
        <f t="shared" si="30"/>
        <v>0</v>
      </c>
      <c r="I77" s="200">
        <f t="shared" si="30"/>
        <v>0</v>
      </c>
      <c r="J77" s="200">
        <f t="shared" si="30"/>
        <v>0</v>
      </c>
      <c r="K77" s="200">
        <f t="shared" si="30"/>
        <v>0</v>
      </c>
      <c r="L77" s="200">
        <f t="shared" si="30"/>
        <v>0</v>
      </c>
      <c r="M77" s="200">
        <f t="shared" si="30"/>
        <v>0</v>
      </c>
      <c r="N77" s="200">
        <f t="shared" si="30"/>
        <v>0</v>
      </c>
      <c r="O77" s="200">
        <f t="shared" si="30"/>
        <v>0</v>
      </c>
      <c r="P77" s="200">
        <f t="shared" si="30"/>
        <v>0</v>
      </c>
      <c r="Q77" s="200">
        <f t="shared" si="30"/>
        <v>0</v>
      </c>
      <c r="R77" s="200">
        <f t="shared" si="30"/>
        <v>0</v>
      </c>
      <c r="S77" s="200">
        <f t="shared" si="30"/>
        <v>0</v>
      </c>
      <c r="T77" s="200">
        <f t="shared" si="30"/>
        <v>0</v>
      </c>
      <c r="U77" s="200">
        <f t="shared" si="30"/>
        <v>0</v>
      </c>
    </row>
    <row r="78" spans="1:21" s="9" customFormat="1" ht="25.9" customHeight="1" x14ac:dyDescent="0.2">
      <c r="A78" s="23"/>
      <c r="B78" s="24"/>
      <c r="C78" s="519"/>
      <c r="D78" s="213" t="s">
        <v>91</v>
      </c>
      <c r="E78" s="213"/>
      <c r="F78" s="216">
        <f>(F79+F81+F82+F80)/'Price evolution'!$Q$28</f>
        <v>20513.295135407116</v>
      </c>
      <c r="G78" s="216">
        <f>(G79+G81+G82+G80)/'Price evolution'!$Q$28</f>
        <v>20513.295135407116</v>
      </c>
      <c r="H78" s="216">
        <f>(H79+H81+H82+H80)/'Price evolution'!$Q$28</f>
        <v>20513.295135407116</v>
      </c>
      <c r="I78" s="216">
        <f>(I79+I81+I82+I80)/'Price evolution'!$Q$28</f>
        <v>20513.295135407116</v>
      </c>
      <c r="J78" s="216">
        <f>(J79+J81+J82+J80)/'Price evolution'!$Q$28</f>
        <v>20513.295135407116</v>
      </c>
      <c r="K78" s="216">
        <f>(K79+K81+K82+K80)/'Price evolution'!$Q$28</f>
        <v>20513.295135407116</v>
      </c>
      <c r="L78" s="216">
        <f>(L79+L81+L82+L80)/'Price evolution'!$Q$28</f>
        <v>20513.295135407116</v>
      </c>
      <c r="M78" s="216">
        <f>(M79+M81+M82+M80)/'Price evolution'!$Q$28</f>
        <v>20513.295135407116</v>
      </c>
      <c r="N78" s="216">
        <f>(N79+N81+N82+N80)/'Price evolution'!$Q$28</f>
        <v>20513.295135407116</v>
      </c>
      <c r="O78" s="216">
        <f>(O79+O81+O82+O80)/'Price evolution'!$Q$28</f>
        <v>20513.295135407116</v>
      </c>
      <c r="P78" s="216">
        <f>(P79+P81+P82+P80)/'Price evolution'!$Q$28</f>
        <v>20513.295135407116</v>
      </c>
      <c r="Q78" s="216">
        <f>(Q79+Q81+Q82+Q80)/'Price evolution'!$Q$28</f>
        <v>20513.295135407116</v>
      </c>
      <c r="R78" s="216">
        <f>(R79+R81+R82+R80)/'Price evolution'!$Q$28</f>
        <v>20513.295135407116</v>
      </c>
      <c r="S78" s="216">
        <f>(S79+S81+S82+S80)/'Price evolution'!$Q$28</f>
        <v>20513.295135407116</v>
      </c>
      <c r="T78" s="216">
        <f>(T79+T81+T82+T80)/'Price evolution'!$Q$28</f>
        <v>20513.295135407116</v>
      </c>
      <c r="U78" s="216">
        <f>(U79+U81+U82+U80)/'Price evolution'!$Q$28</f>
        <v>20513.295135407116</v>
      </c>
    </row>
    <row r="79" spans="1:21" s="198" customFormat="1" ht="25.9" customHeight="1" x14ac:dyDescent="0.2">
      <c r="A79" s="196"/>
      <c r="B79" s="197"/>
      <c r="C79" s="519"/>
      <c r="D79" s="195" t="s">
        <v>92</v>
      </c>
      <c r="E79" s="195"/>
      <c r="F79" s="199">
        <f>F99</f>
        <v>124833.33333333333</v>
      </c>
      <c r="G79" s="199">
        <f t="shared" ref="G79:U79" si="31">G99</f>
        <v>124833.33333333333</v>
      </c>
      <c r="H79" s="199">
        <f t="shared" si="31"/>
        <v>124833.33333333333</v>
      </c>
      <c r="I79" s="199">
        <f t="shared" si="31"/>
        <v>124833.33333333333</v>
      </c>
      <c r="J79" s="199">
        <f t="shared" si="31"/>
        <v>124833.33333333333</v>
      </c>
      <c r="K79" s="199">
        <f t="shared" si="31"/>
        <v>124833.33333333333</v>
      </c>
      <c r="L79" s="199">
        <f t="shared" si="31"/>
        <v>124833.33333333333</v>
      </c>
      <c r="M79" s="199">
        <f t="shared" si="31"/>
        <v>124833.33333333333</v>
      </c>
      <c r="N79" s="199">
        <f t="shared" si="31"/>
        <v>124833.33333333333</v>
      </c>
      <c r="O79" s="199">
        <f t="shared" si="31"/>
        <v>124833.33333333333</v>
      </c>
      <c r="P79" s="199">
        <f t="shared" si="31"/>
        <v>124833.33333333333</v>
      </c>
      <c r="Q79" s="199">
        <f t="shared" si="31"/>
        <v>124833.33333333333</v>
      </c>
      <c r="R79" s="199">
        <f t="shared" si="31"/>
        <v>124833.33333333333</v>
      </c>
      <c r="S79" s="199">
        <f t="shared" si="31"/>
        <v>124833.33333333333</v>
      </c>
      <c r="T79" s="199">
        <f t="shared" si="31"/>
        <v>124833.33333333333</v>
      </c>
      <c r="U79" s="199">
        <f t="shared" si="31"/>
        <v>124833.33333333333</v>
      </c>
    </row>
    <row r="80" spans="1:21" s="198" customFormat="1" ht="25.9" customHeight="1" x14ac:dyDescent="0.2">
      <c r="A80" s="196"/>
      <c r="B80" s="197"/>
      <c r="C80" s="519"/>
      <c r="D80" s="195" t="s">
        <v>232</v>
      </c>
      <c r="E80" s="195"/>
      <c r="F80" s="199">
        <f>F102</f>
        <v>12500</v>
      </c>
      <c r="G80" s="199">
        <f t="shared" ref="G80:U80" si="32">G102</f>
        <v>12500</v>
      </c>
      <c r="H80" s="199">
        <f t="shared" si="32"/>
        <v>12500</v>
      </c>
      <c r="I80" s="199">
        <f t="shared" si="32"/>
        <v>12500</v>
      </c>
      <c r="J80" s="199">
        <f t="shared" si="32"/>
        <v>12500</v>
      </c>
      <c r="K80" s="199">
        <f t="shared" si="32"/>
        <v>12500</v>
      </c>
      <c r="L80" s="199">
        <f t="shared" si="32"/>
        <v>12500</v>
      </c>
      <c r="M80" s="199">
        <f t="shared" si="32"/>
        <v>12500</v>
      </c>
      <c r="N80" s="199">
        <f t="shared" si="32"/>
        <v>12500</v>
      </c>
      <c r="O80" s="199">
        <f t="shared" si="32"/>
        <v>12500</v>
      </c>
      <c r="P80" s="199">
        <f t="shared" si="32"/>
        <v>12500</v>
      </c>
      <c r="Q80" s="199">
        <f t="shared" si="32"/>
        <v>12500</v>
      </c>
      <c r="R80" s="199">
        <f t="shared" si="32"/>
        <v>12500</v>
      </c>
      <c r="S80" s="199">
        <f t="shared" si="32"/>
        <v>12500</v>
      </c>
      <c r="T80" s="199">
        <f t="shared" si="32"/>
        <v>12500</v>
      </c>
      <c r="U80" s="199">
        <f t="shared" si="32"/>
        <v>12500</v>
      </c>
    </row>
    <row r="81" spans="1:21" s="9" customFormat="1" ht="25.9" customHeight="1" x14ac:dyDescent="0.2">
      <c r="A81" s="23"/>
      <c r="B81" s="24"/>
      <c r="C81" s="519"/>
      <c r="D81" s="195" t="s">
        <v>197</v>
      </c>
      <c r="E81" s="194"/>
      <c r="F81" s="200">
        <f>F137</f>
        <v>151000</v>
      </c>
      <c r="G81" s="200">
        <f t="shared" ref="G81:U81" si="33">G137</f>
        <v>151000</v>
      </c>
      <c r="H81" s="200">
        <f t="shared" si="33"/>
        <v>151000</v>
      </c>
      <c r="I81" s="200">
        <f t="shared" si="33"/>
        <v>151000</v>
      </c>
      <c r="J81" s="200">
        <f t="shared" si="33"/>
        <v>151000</v>
      </c>
      <c r="K81" s="200">
        <f t="shared" si="33"/>
        <v>151000</v>
      </c>
      <c r="L81" s="200">
        <f t="shared" si="33"/>
        <v>151000</v>
      </c>
      <c r="M81" s="200">
        <f t="shared" si="33"/>
        <v>151000</v>
      </c>
      <c r="N81" s="200">
        <f t="shared" si="33"/>
        <v>151000</v>
      </c>
      <c r="O81" s="200">
        <f t="shared" si="33"/>
        <v>151000</v>
      </c>
      <c r="P81" s="200">
        <f t="shared" si="33"/>
        <v>151000</v>
      </c>
      <c r="Q81" s="200">
        <f t="shared" si="33"/>
        <v>151000</v>
      </c>
      <c r="R81" s="200">
        <f t="shared" si="33"/>
        <v>151000</v>
      </c>
      <c r="S81" s="200">
        <f t="shared" si="33"/>
        <v>151000</v>
      </c>
      <c r="T81" s="200">
        <f t="shared" si="33"/>
        <v>151000</v>
      </c>
      <c r="U81" s="200">
        <f t="shared" si="33"/>
        <v>151000</v>
      </c>
    </row>
    <row r="82" spans="1:21" s="9" customFormat="1" ht="25.9" customHeight="1" x14ac:dyDescent="0.2">
      <c r="A82" s="23"/>
      <c r="B82" s="24"/>
      <c r="C82" s="519"/>
      <c r="D82" s="195" t="s">
        <v>231</v>
      </c>
      <c r="E82" s="194"/>
      <c r="F82" s="200">
        <f t="shared" ref="F82:U82" si="34">F145+F146</f>
        <v>121932.56937480901</v>
      </c>
      <c r="G82" s="200">
        <f t="shared" si="34"/>
        <v>121932.56937480901</v>
      </c>
      <c r="H82" s="200">
        <f t="shared" si="34"/>
        <v>121932.56937480901</v>
      </c>
      <c r="I82" s="200">
        <f t="shared" si="34"/>
        <v>121932.56937480901</v>
      </c>
      <c r="J82" s="200">
        <f t="shared" si="34"/>
        <v>121932.56937480901</v>
      </c>
      <c r="K82" s="200">
        <f t="shared" si="34"/>
        <v>121932.56937480901</v>
      </c>
      <c r="L82" s="200">
        <f t="shared" si="34"/>
        <v>121932.56937480901</v>
      </c>
      <c r="M82" s="200">
        <f t="shared" si="34"/>
        <v>121932.56937480901</v>
      </c>
      <c r="N82" s="200">
        <f t="shared" si="34"/>
        <v>121932.56937480901</v>
      </c>
      <c r="O82" s="200">
        <f t="shared" si="34"/>
        <v>121932.56937480901</v>
      </c>
      <c r="P82" s="200">
        <f t="shared" si="34"/>
        <v>121932.56937480901</v>
      </c>
      <c r="Q82" s="200">
        <f t="shared" si="34"/>
        <v>121932.56937480901</v>
      </c>
      <c r="R82" s="200">
        <f t="shared" si="34"/>
        <v>121932.56937480901</v>
      </c>
      <c r="S82" s="200">
        <f t="shared" si="34"/>
        <v>121932.56937480901</v>
      </c>
      <c r="T82" s="200">
        <f t="shared" si="34"/>
        <v>121932.56937480901</v>
      </c>
      <c r="U82" s="200">
        <f t="shared" si="34"/>
        <v>121932.56937480901</v>
      </c>
    </row>
    <row r="83" spans="1:21" s="9" customFormat="1" ht="30" customHeight="1" x14ac:dyDescent="0.2">
      <c r="A83" s="11"/>
      <c r="B83" s="5"/>
      <c r="C83" s="519"/>
      <c r="D83" s="217"/>
      <c r="E83" s="7"/>
      <c r="F83" s="680">
        <f>IF(Input!E6&gt;0,1,IF('Cost analysis'!E83&gt;0,1,0))</f>
        <v>0</v>
      </c>
      <c r="G83" s="680">
        <f>IF(Input!F6&gt;0,1,IF('Cost analysis'!F83&gt;0,1,0))</f>
        <v>0</v>
      </c>
      <c r="H83" s="680">
        <f>IF(Input!G6&gt;0,1,IF('Cost analysis'!G83&gt;0,1,0))</f>
        <v>0</v>
      </c>
      <c r="I83" s="680">
        <f>IF(Input!H6&gt;0,1,IF('Cost analysis'!H83&gt;0,1,0))</f>
        <v>0</v>
      </c>
      <c r="J83" s="680">
        <f>IF(Input!I6&gt;0,1,IF('Cost analysis'!I83&gt;0,1,0))</f>
        <v>0</v>
      </c>
      <c r="K83" s="680">
        <f>IF(Input!J6&gt;0,1,IF('Cost analysis'!J83&gt;0,1,0))</f>
        <v>0</v>
      </c>
      <c r="L83" s="680">
        <f>IF(Input!K6&gt;0,1,IF('Cost analysis'!K83&gt;0,1,0))</f>
        <v>0</v>
      </c>
      <c r="M83" s="680">
        <f>IF(Input!L6&gt;0,1,IF('Cost analysis'!L83&gt;0,1,0))</f>
        <v>0</v>
      </c>
      <c r="N83" s="680">
        <f>IF(Input!M6&gt;0,1,IF('Cost analysis'!M83&gt;0,1,0))</f>
        <v>0</v>
      </c>
      <c r="O83" s="680">
        <f>IF(Input!N6&gt;0,1,IF('Cost analysis'!N83&gt;0,1,0))</f>
        <v>0</v>
      </c>
      <c r="P83" s="680">
        <f>IF(Input!O6&gt;0,1,IF('Cost analysis'!O83&gt;0,1,0))</f>
        <v>0</v>
      </c>
      <c r="Q83" s="680">
        <f>IF(Input!P6&gt;0,1,IF('Cost analysis'!P83&gt;0,1,0))</f>
        <v>0</v>
      </c>
      <c r="R83" s="680">
        <f>IF(Input!Q6&gt;0,1,IF('Cost analysis'!Q83&gt;0,1,0))</f>
        <v>0</v>
      </c>
      <c r="S83" s="680">
        <f>IF(Input!R6&gt;0,1,IF('Cost analysis'!R83&gt;0,1,0))</f>
        <v>0</v>
      </c>
      <c r="T83" s="680">
        <f>IF(Input!S6&gt;0,1,IF('Cost analysis'!S83&gt;0,1,0))</f>
        <v>0</v>
      </c>
      <c r="U83" s="680">
        <f>IF(Input!T6&gt;0,1,IF('Cost analysis'!T83&gt;0,1,0))</f>
        <v>0</v>
      </c>
    </row>
    <row r="84" spans="1:21" s="78" customFormat="1" ht="30" customHeight="1" x14ac:dyDescent="0.2">
      <c r="A84" s="114"/>
      <c r="B84" s="115"/>
      <c r="C84" s="519"/>
      <c r="D84" s="447" t="s">
        <v>278</v>
      </c>
      <c r="E84" s="59"/>
      <c r="F84" s="212">
        <f t="shared" ref="F84:U84" si="35">F86+F105+F123+F155+F147+F143+F138+F158</f>
        <v>410265.9027081423</v>
      </c>
      <c r="G84" s="212">
        <f t="shared" si="35"/>
        <v>410265.9027081423</v>
      </c>
      <c r="H84" s="212">
        <f t="shared" si="35"/>
        <v>410265.9027081423</v>
      </c>
      <c r="I84" s="212">
        <f t="shared" si="35"/>
        <v>410265.9027081423</v>
      </c>
      <c r="J84" s="212">
        <f t="shared" si="35"/>
        <v>410265.9027081423</v>
      </c>
      <c r="K84" s="212">
        <f t="shared" si="35"/>
        <v>410265.9027081423</v>
      </c>
      <c r="L84" s="212">
        <f t="shared" si="35"/>
        <v>410265.9027081423</v>
      </c>
      <c r="M84" s="212">
        <f t="shared" si="35"/>
        <v>410265.9027081423</v>
      </c>
      <c r="N84" s="212">
        <f t="shared" si="35"/>
        <v>410265.9027081423</v>
      </c>
      <c r="O84" s="212">
        <f t="shared" si="35"/>
        <v>410265.9027081423</v>
      </c>
      <c r="P84" s="212">
        <f t="shared" si="35"/>
        <v>410265.9027081423</v>
      </c>
      <c r="Q84" s="212">
        <f t="shared" si="35"/>
        <v>410265.9027081423</v>
      </c>
      <c r="R84" s="212">
        <f t="shared" si="35"/>
        <v>410265.9027081423</v>
      </c>
      <c r="S84" s="212">
        <f t="shared" si="35"/>
        <v>410265.9027081423</v>
      </c>
      <c r="T84" s="212">
        <f t="shared" si="35"/>
        <v>410265.9027081423</v>
      </c>
      <c r="U84" s="212">
        <f t="shared" si="35"/>
        <v>410265.9027081423</v>
      </c>
    </row>
    <row r="85" spans="1:21" s="78" customFormat="1" ht="30" hidden="1" customHeight="1" x14ac:dyDescent="0.25">
      <c r="A85" s="114"/>
      <c r="B85" s="115"/>
      <c r="C85" s="519"/>
      <c r="D85" s="59" t="s">
        <v>93</v>
      </c>
      <c r="E85" s="59"/>
      <c r="F85" s="212">
        <f t="shared" ref="F85:U85" si="36">F86+F105+F123+F155+F147+F143</f>
        <v>410265.9027081423</v>
      </c>
      <c r="G85" s="212">
        <f t="shared" si="36"/>
        <v>410265.9027081423</v>
      </c>
      <c r="H85" s="212">
        <f t="shared" si="36"/>
        <v>410265.9027081423</v>
      </c>
      <c r="I85" s="212">
        <f t="shared" si="36"/>
        <v>410265.9027081423</v>
      </c>
      <c r="J85" s="212">
        <f t="shared" si="36"/>
        <v>410265.9027081423</v>
      </c>
      <c r="K85" s="212">
        <f t="shared" si="36"/>
        <v>410265.9027081423</v>
      </c>
      <c r="L85" s="212">
        <f t="shared" si="36"/>
        <v>410265.9027081423</v>
      </c>
      <c r="M85" s="212">
        <f t="shared" si="36"/>
        <v>410265.9027081423</v>
      </c>
      <c r="N85" s="212">
        <f t="shared" si="36"/>
        <v>410265.9027081423</v>
      </c>
      <c r="O85" s="212">
        <f t="shared" si="36"/>
        <v>410265.9027081423</v>
      </c>
      <c r="P85" s="212">
        <f t="shared" si="36"/>
        <v>410265.9027081423</v>
      </c>
      <c r="Q85" s="212">
        <f t="shared" si="36"/>
        <v>410265.9027081423</v>
      </c>
      <c r="R85" s="212">
        <f t="shared" si="36"/>
        <v>410265.9027081423</v>
      </c>
      <c r="S85" s="212">
        <f t="shared" si="36"/>
        <v>410265.9027081423</v>
      </c>
      <c r="T85" s="212">
        <f t="shared" si="36"/>
        <v>410265.9027081423</v>
      </c>
      <c r="U85" s="212">
        <f t="shared" si="36"/>
        <v>410265.9027081423</v>
      </c>
    </row>
    <row r="86" spans="1:21" s="40" customFormat="1" ht="18" customHeight="1" x14ac:dyDescent="0.2">
      <c r="A86" s="38"/>
      <c r="B86" s="39"/>
      <c r="C86" s="519"/>
      <c r="D86" s="305" t="s">
        <v>277</v>
      </c>
      <c r="E86" s="306" t="s">
        <v>3</v>
      </c>
      <c r="F86" s="307">
        <f>F87+F99+F102</f>
        <v>137333.33333333331</v>
      </c>
      <c r="G86" s="307">
        <f t="shared" ref="G86:U86" si="37">G87+G99+G102</f>
        <v>137333.33333333331</v>
      </c>
      <c r="H86" s="307">
        <f t="shared" si="37"/>
        <v>137333.33333333331</v>
      </c>
      <c r="I86" s="307">
        <f t="shared" si="37"/>
        <v>137333.33333333331</v>
      </c>
      <c r="J86" s="307">
        <f t="shared" si="37"/>
        <v>137333.33333333331</v>
      </c>
      <c r="K86" s="307">
        <f t="shared" si="37"/>
        <v>137333.33333333331</v>
      </c>
      <c r="L86" s="307">
        <f t="shared" si="37"/>
        <v>137333.33333333331</v>
      </c>
      <c r="M86" s="307">
        <f t="shared" si="37"/>
        <v>137333.33333333331</v>
      </c>
      <c r="N86" s="307">
        <f t="shared" si="37"/>
        <v>137333.33333333331</v>
      </c>
      <c r="O86" s="307">
        <f t="shared" si="37"/>
        <v>137333.33333333331</v>
      </c>
      <c r="P86" s="307">
        <f t="shared" si="37"/>
        <v>137333.33333333331</v>
      </c>
      <c r="Q86" s="307">
        <f t="shared" si="37"/>
        <v>137333.33333333331</v>
      </c>
      <c r="R86" s="307">
        <f t="shared" si="37"/>
        <v>137333.33333333331</v>
      </c>
      <c r="S86" s="307">
        <f t="shared" si="37"/>
        <v>137333.33333333331</v>
      </c>
      <c r="T86" s="307">
        <f t="shared" si="37"/>
        <v>137333.33333333331</v>
      </c>
      <c r="U86" s="307">
        <f t="shared" si="37"/>
        <v>137333.33333333331</v>
      </c>
    </row>
    <row r="87" spans="1:21" s="40" customFormat="1" ht="13.15" customHeight="1" x14ac:dyDescent="0.2">
      <c r="A87" s="46"/>
      <c r="B87" s="47"/>
      <c r="C87" s="519"/>
      <c r="D87" s="96" t="s">
        <v>37</v>
      </c>
      <c r="E87" s="41"/>
      <c r="F87" s="55">
        <f>F96/$E$9</f>
        <v>0</v>
      </c>
      <c r="G87" s="55">
        <f t="shared" ref="G87:Q87" si="38">G96/$E$9+F87</f>
        <v>0</v>
      </c>
      <c r="H87" s="55">
        <f t="shared" si="38"/>
        <v>0</v>
      </c>
      <c r="I87" s="55">
        <f t="shared" si="38"/>
        <v>0</v>
      </c>
      <c r="J87" s="55">
        <f t="shared" si="38"/>
        <v>0</v>
      </c>
      <c r="K87" s="55">
        <f t="shared" si="38"/>
        <v>0</v>
      </c>
      <c r="L87" s="55">
        <f t="shared" si="38"/>
        <v>0</v>
      </c>
      <c r="M87" s="55">
        <f t="shared" si="38"/>
        <v>0</v>
      </c>
      <c r="N87" s="55">
        <f t="shared" si="38"/>
        <v>0</v>
      </c>
      <c r="O87" s="55">
        <f t="shared" si="38"/>
        <v>0</v>
      </c>
      <c r="P87" s="55">
        <f t="shared" si="38"/>
        <v>0</v>
      </c>
      <c r="Q87" s="55">
        <f t="shared" si="38"/>
        <v>0</v>
      </c>
      <c r="R87" s="55">
        <f>R96/$E$9+Q87-F87</f>
        <v>0</v>
      </c>
      <c r="S87" s="55">
        <f>S96/$E$9+R87-(G87-F87)</f>
        <v>0</v>
      </c>
      <c r="T87" s="55">
        <f>T96/$E$9+S87-(H87-G87)</f>
        <v>0</v>
      </c>
      <c r="U87" s="55">
        <f>U96/$E$9+T87-(I87-H87)</f>
        <v>0</v>
      </c>
    </row>
    <row r="88" spans="1:21" s="48" customFormat="1" ht="12.75" x14ac:dyDescent="0.2">
      <c r="A88" s="43"/>
      <c r="B88" s="44"/>
      <c r="C88" s="519"/>
      <c r="D88" s="207" t="s">
        <v>35</v>
      </c>
      <c r="E88" s="49"/>
      <c r="F88" s="57">
        <f>Input!E6</f>
        <v>0</v>
      </c>
      <c r="G88" s="57">
        <f>Input!F6</f>
        <v>0</v>
      </c>
      <c r="H88" s="57">
        <f>Input!G6</f>
        <v>0</v>
      </c>
      <c r="I88" s="57">
        <f>Input!H6</f>
        <v>0</v>
      </c>
      <c r="J88" s="57">
        <f>Input!I6</f>
        <v>0</v>
      </c>
      <c r="K88" s="57">
        <f>Input!J6</f>
        <v>0</v>
      </c>
      <c r="L88" s="57">
        <f>Input!K6</f>
        <v>0</v>
      </c>
      <c r="M88" s="57">
        <f>Input!L6</f>
        <v>0</v>
      </c>
      <c r="N88" s="57">
        <f>Input!M6</f>
        <v>0</v>
      </c>
      <c r="O88" s="57">
        <f>Input!N6</f>
        <v>0</v>
      </c>
      <c r="P88" s="57">
        <f>Input!O6</f>
        <v>0</v>
      </c>
      <c r="Q88" s="57">
        <f>Input!P6</f>
        <v>0</v>
      </c>
      <c r="R88" s="57">
        <f>Input!Q6</f>
        <v>0</v>
      </c>
      <c r="S88" s="57">
        <f>Input!R6</f>
        <v>0</v>
      </c>
      <c r="T88" s="57">
        <f>Input!S6</f>
        <v>0</v>
      </c>
      <c r="U88" s="57">
        <f>Input!T6</f>
        <v>0</v>
      </c>
    </row>
    <row r="89" spans="1:21" s="48" customFormat="1" ht="12.75" x14ac:dyDescent="0.2">
      <c r="A89" s="46"/>
      <c r="B89" s="47"/>
      <c r="C89" s="519"/>
      <c r="D89" s="207" t="s">
        <v>36</v>
      </c>
      <c r="E89" s="49"/>
      <c r="F89" s="57">
        <f>Input!E7</f>
        <v>0</v>
      </c>
      <c r="G89" s="57">
        <f>Input!F7</f>
        <v>0</v>
      </c>
      <c r="H89" s="57">
        <f>Input!G7</f>
        <v>0</v>
      </c>
      <c r="I89" s="57">
        <f>Input!H7</f>
        <v>0</v>
      </c>
      <c r="J89" s="57">
        <f>Input!I7</f>
        <v>0</v>
      </c>
      <c r="K89" s="57">
        <f>Input!J7</f>
        <v>0</v>
      </c>
      <c r="L89" s="57">
        <f>Input!K7</f>
        <v>0</v>
      </c>
      <c r="M89" s="57">
        <f>Input!L7</f>
        <v>0</v>
      </c>
      <c r="N89" s="57">
        <f>Input!M7</f>
        <v>0</v>
      </c>
      <c r="O89" s="57">
        <f>Input!N7</f>
        <v>0</v>
      </c>
      <c r="P89" s="57">
        <f>Input!O7</f>
        <v>0</v>
      </c>
      <c r="Q89" s="57">
        <f>Input!P7</f>
        <v>0</v>
      </c>
      <c r="R89" s="57">
        <f>Input!Q7</f>
        <v>0</v>
      </c>
      <c r="S89" s="57">
        <f>Input!R7</f>
        <v>0</v>
      </c>
      <c r="T89" s="57">
        <f>Input!S7</f>
        <v>0</v>
      </c>
      <c r="U89" s="57">
        <f>Input!T7</f>
        <v>0</v>
      </c>
    </row>
    <row r="90" spans="1:21" s="37" customFormat="1" ht="12.75" x14ac:dyDescent="0.2">
      <c r="A90" s="114"/>
      <c r="B90" s="115"/>
      <c r="C90" s="519"/>
      <c r="D90" s="156" t="s">
        <v>50</v>
      </c>
      <c r="E90" s="116"/>
      <c r="F90" s="157">
        <f t="shared" ref="F90:U90" si="39">F91+F92</f>
        <v>0</v>
      </c>
      <c r="G90" s="157">
        <f t="shared" si="39"/>
        <v>0</v>
      </c>
      <c r="H90" s="157">
        <f t="shared" si="39"/>
        <v>0</v>
      </c>
      <c r="I90" s="157">
        <f t="shared" si="39"/>
        <v>0</v>
      </c>
      <c r="J90" s="157">
        <f t="shared" si="39"/>
        <v>0</v>
      </c>
      <c r="K90" s="157">
        <f t="shared" si="39"/>
        <v>0</v>
      </c>
      <c r="L90" s="157">
        <f t="shared" si="39"/>
        <v>0</v>
      </c>
      <c r="M90" s="157">
        <f t="shared" si="39"/>
        <v>0</v>
      </c>
      <c r="N90" s="157">
        <f t="shared" si="39"/>
        <v>0</v>
      </c>
      <c r="O90" s="157">
        <f t="shared" si="39"/>
        <v>0</v>
      </c>
      <c r="P90" s="157">
        <f t="shared" si="39"/>
        <v>0</v>
      </c>
      <c r="Q90" s="157">
        <f t="shared" si="39"/>
        <v>0</v>
      </c>
      <c r="R90" s="157">
        <f t="shared" si="39"/>
        <v>0</v>
      </c>
      <c r="S90" s="157">
        <f t="shared" si="39"/>
        <v>0</v>
      </c>
      <c r="T90" s="157">
        <f t="shared" si="39"/>
        <v>0</v>
      </c>
      <c r="U90" s="157">
        <f t="shared" si="39"/>
        <v>0</v>
      </c>
    </row>
    <row r="91" spans="1:21" s="48" customFormat="1" ht="12.75" x14ac:dyDescent="0.2">
      <c r="A91" s="46"/>
      <c r="B91" s="47"/>
      <c r="C91" s="519"/>
      <c r="D91" s="95" t="s">
        <v>48</v>
      </c>
      <c r="E91" s="49"/>
      <c r="F91" s="52">
        <v>0</v>
      </c>
      <c r="G91" s="52">
        <v>0</v>
      </c>
      <c r="H91" s="52">
        <v>0</v>
      </c>
      <c r="I91" s="52">
        <v>0</v>
      </c>
      <c r="J91" s="52">
        <v>0</v>
      </c>
      <c r="K91" s="52">
        <v>0</v>
      </c>
      <c r="L91" s="52">
        <v>0</v>
      </c>
      <c r="M91" s="52">
        <v>0</v>
      </c>
      <c r="N91" s="52">
        <v>0</v>
      </c>
      <c r="O91" s="52">
        <v>0</v>
      </c>
      <c r="P91" s="52">
        <v>0</v>
      </c>
      <c r="Q91" s="52">
        <v>0</v>
      </c>
      <c r="R91" s="52">
        <f t="shared" ref="R91:U92" si="40">F88</f>
        <v>0</v>
      </c>
      <c r="S91" s="52">
        <f t="shared" si="40"/>
        <v>0</v>
      </c>
      <c r="T91" s="52">
        <f t="shared" si="40"/>
        <v>0</v>
      </c>
      <c r="U91" s="52">
        <f t="shared" si="40"/>
        <v>0</v>
      </c>
    </row>
    <row r="92" spans="1:21" s="48" customFormat="1" ht="12.75" x14ac:dyDescent="0.2">
      <c r="A92" s="46"/>
      <c r="B92" s="47"/>
      <c r="C92" s="519"/>
      <c r="D92" s="95" t="s">
        <v>49</v>
      </c>
      <c r="E92" s="49"/>
      <c r="F92" s="52">
        <v>0</v>
      </c>
      <c r="G92" s="52">
        <v>0</v>
      </c>
      <c r="H92" s="52">
        <v>0</v>
      </c>
      <c r="I92" s="52">
        <v>0</v>
      </c>
      <c r="J92" s="52">
        <v>0</v>
      </c>
      <c r="K92" s="52">
        <v>0</v>
      </c>
      <c r="L92" s="52">
        <v>0</v>
      </c>
      <c r="M92" s="52">
        <v>0</v>
      </c>
      <c r="N92" s="52">
        <v>0</v>
      </c>
      <c r="O92" s="52">
        <v>0</v>
      </c>
      <c r="P92" s="52">
        <v>0</v>
      </c>
      <c r="Q92" s="52">
        <v>0</v>
      </c>
      <c r="R92" s="52">
        <f t="shared" si="40"/>
        <v>0</v>
      </c>
      <c r="S92" s="52">
        <f>G89</f>
        <v>0</v>
      </c>
      <c r="T92" s="52">
        <f>H89</f>
        <v>0</v>
      </c>
      <c r="U92" s="52">
        <f>I89</f>
        <v>0</v>
      </c>
    </row>
    <row r="93" spans="1:21" s="162" customFormat="1" ht="12.75" x14ac:dyDescent="0.2">
      <c r="A93" s="158"/>
      <c r="B93" s="159"/>
      <c r="C93" s="519"/>
      <c r="D93" s="156" t="s">
        <v>53</v>
      </c>
      <c r="E93" s="160"/>
      <c r="F93" s="161">
        <f>F94+F95</f>
        <v>0</v>
      </c>
      <c r="G93" s="161">
        <f t="shared" ref="G93:U93" si="41">G94+G95</f>
        <v>0</v>
      </c>
      <c r="H93" s="161">
        <f t="shared" si="41"/>
        <v>0</v>
      </c>
      <c r="I93" s="161">
        <f t="shared" si="41"/>
        <v>0</v>
      </c>
      <c r="J93" s="161">
        <f t="shared" si="41"/>
        <v>0</v>
      </c>
      <c r="K93" s="161">
        <f t="shared" si="41"/>
        <v>0</v>
      </c>
      <c r="L93" s="161">
        <f t="shared" si="41"/>
        <v>0</v>
      </c>
      <c r="M93" s="161">
        <f t="shared" si="41"/>
        <v>0</v>
      </c>
      <c r="N93" s="161">
        <f t="shared" si="41"/>
        <v>0</v>
      </c>
      <c r="O93" s="161">
        <f t="shared" si="41"/>
        <v>0</v>
      </c>
      <c r="P93" s="161">
        <f t="shared" si="41"/>
        <v>0</v>
      </c>
      <c r="Q93" s="161">
        <f t="shared" si="41"/>
        <v>0</v>
      </c>
      <c r="R93" s="161">
        <f t="shared" si="41"/>
        <v>0</v>
      </c>
      <c r="S93" s="161">
        <f t="shared" si="41"/>
        <v>0</v>
      </c>
      <c r="T93" s="161">
        <f t="shared" si="41"/>
        <v>0</v>
      </c>
      <c r="U93" s="161">
        <f t="shared" si="41"/>
        <v>0</v>
      </c>
    </row>
    <row r="94" spans="1:21" s="31" customFormat="1" ht="12.75" x14ac:dyDescent="0.2">
      <c r="A94" s="43"/>
      <c r="B94" s="44"/>
      <c r="C94" s="519"/>
      <c r="D94" s="95" t="s">
        <v>51</v>
      </c>
      <c r="E94" s="45"/>
      <c r="F94" s="52">
        <f>F88-F91</f>
        <v>0</v>
      </c>
      <c r="G94" s="52">
        <f t="shared" ref="G94:U94" si="42">F94+G88-G91</f>
        <v>0</v>
      </c>
      <c r="H94" s="52">
        <f t="shared" si="42"/>
        <v>0</v>
      </c>
      <c r="I94" s="52">
        <f t="shared" si="42"/>
        <v>0</v>
      </c>
      <c r="J94" s="52">
        <f t="shared" si="42"/>
        <v>0</v>
      </c>
      <c r="K94" s="52">
        <f t="shared" si="42"/>
        <v>0</v>
      </c>
      <c r="L94" s="52">
        <f t="shared" si="42"/>
        <v>0</v>
      </c>
      <c r="M94" s="52">
        <f t="shared" si="42"/>
        <v>0</v>
      </c>
      <c r="N94" s="52">
        <f t="shared" si="42"/>
        <v>0</v>
      </c>
      <c r="O94" s="52">
        <f t="shared" si="42"/>
        <v>0</v>
      </c>
      <c r="P94" s="52">
        <f t="shared" si="42"/>
        <v>0</v>
      </c>
      <c r="Q94" s="52">
        <f t="shared" si="42"/>
        <v>0</v>
      </c>
      <c r="R94" s="52">
        <f t="shared" si="42"/>
        <v>0</v>
      </c>
      <c r="S94" s="52">
        <f t="shared" si="42"/>
        <v>0</v>
      </c>
      <c r="T94" s="52">
        <f t="shared" si="42"/>
        <v>0</v>
      </c>
      <c r="U94" s="52">
        <f t="shared" si="42"/>
        <v>0</v>
      </c>
    </row>
    <row r="95" spans="1:21" s="31" customFormat="1" ht="12.75" x14ac:dyDescent="0.2">
      <c r="A95" s="43"/>
      <c r="B95" s="44"/>
      <c r="C95" s="519"/>
      <c r="D95" s="95" t="s">
        <v>52</v>
      </c>
      <c r="E95" s="45"/>
      <c r="F95" s="52">
        <f>F89-F92</f>
        <v>0</v>
      </c>
      <c r="G95" s="52">
        <f>F95+G89-G92</f>
        <v>0</v>
      </c>
      <c r="H95" s="52">
        <f t="shared" ref="H95:U95" si="43">G95+H89-H92</f>
        <v>0</v>
      </c>
      <c r="I95" s="52">
        <f t="shared" si="43"/>
        <v>0</v>
      </c>
      <c r="J95" s="52">
        <f t="shared" si="43"/>
        <v>0</v>
      </c>
      <c r="K95" s="52">
        <f t="shared" si="43"/>
        <v>0</v>
      </c>
      <c r="L95" s="52">
        <f t="shared" si="43"/>
        <v>0</v>
      </c>
      <c r="M95" s="52">
        <f t="shared" si="43"/>
        <v>0</v>
      </c>
      <c r="N95" s="52">
        <f t="shared" si="43"/>
        <v>0</v>
      </c>
      <c r="O95" s="52">
        <f t="shared" si="43"/>
        <v>0</v>
      </c>
      <c r="P95" s="52">
        <f t="shared" si="43"/>
        <v>0</v>
      </c>
      <c r="Q95" s="52">
        <f t="shared" si="43"/>
        <v>0</v>
      </c>
      <c r="R95" s="52">
        <f t="shared" si="43"/>
        <v>0</v>
      </c>
      <c r="S95" s="52">
        <f t="shared" si="43"/>
        <v>0</v>
      </c>
      <c r="T95" s="52">
        <f t="shared" si="43"/>
        <v>0</v>
      </c>
      <c r="U95" s="52">
        <f t="shared" si="43"/>
        <v>0</v>
      </c>
    </row>
    <row r="96" spans="1:21" s="31" customFormat="1" ht="12.75" x14ac:dyDescent="0.2">
      <c r="A96" s="46"/>
      <c r="B96" s="47"/>
      <c r="C96" s="519"/>
      <c r="D96" s="96" t="s">
        <v>40</v>
      </c>
      <c r="E96" s="45"/>
      <c r="F96" s="55">
        <f>F97*F88+F98*F89</f>
        <v>0</v>
      </c>
      <c r="G96" s="55">
        <f t="shared" ref="G96:U96" si="44">G97*G88+G98*G89</f>
        <v>0</v>
      </c>
      <c r="H96" s="55">
        <f t="shared" si="44"/>
        <v>0</v>
      </c>
      <c r="I96" s="55">
        <f t="shared" si="44"/>
        <v>0</v>
      </c>
      <c r="J96" s="55">
        <f t="shared" si="44"/>
        <v>0</v>
      </c>
      <c r="K96" s="55">
        <f t="shared" si="44"/>
        <v>0</v>
      </c>
      <c r="L96" s="55">
        <f t="shared" si="44"/>
        <v>0</v>
      </c>
      <c r="M96" s="55">
        <f t="shared" si="44"/>
        <v>0</v>
      </c>
      <c r="N96" s="55">
        <f t="shared" si="44"/>
        <v>0</v>
      </c>
      <c r="O96" s="55">
        <f t="shared" si="44"/>
        <v>0</v>
      </c>
      <c r="P96" s="55">
        <f t="shared" si="44"/>
        <v>0</v>
      </c>
      <c r="Q96" s="55">
        <f t="shared" si="44"/>
        <v>0</v>
      </c>
      <c r="R96" s="55">
        <f t="shared" si="44"/>
        <v>0</v>
      </c>
      <c r="S96" s="55">
        <f t="shared" si="44"/>
        <v>0</v>
      </c>
      <c r="T96" s="55">
        <f t="shared" si="44"/>
        <v>0</v>
      </c>
      <c r="U96" s="55">
        <f t="shared" si="44"/>
        <v>0</v>
      </c>
    </row>
    <row r="97" spans="1:22" s="155" customFormat="1" ht="12.75" x14ac:dyDescent="0.2">
      <c r="A97" s="152"/>
      <c r="B97" s="153"/>
      <c r="C97" s="519"/>
      <c r="D97" s="209" t="s">
        <v>107</v>
      </c>
      <c r="E97" s="154"/>
      <c r="F97" s="149">
        <f>'Price evolution'!F8</f>
        <v>712672</v>
      </c>
      <c r="G97" s="149">
        <f>'Price evolution'!G8</f>
        <v>687951.82916120451</v>
      </c>
      <c r="H97" s="149">
        <f>'Price evolution'!H8</f>
        <v>663231.65832240833</v>
      </c>
      <c r="I97" s="149">
        <f>'Price evolution'!I8</f>
        <v>638511.48748361273</v>
      </c>
      <c r="J97" s="149">
        <f>'Price evolution'!J8</f>
        <v>613791.31664481654</v>
      </c>
      <c r="K97" s="149">
        <f>'Price evolution'!K8</f>
        <v>589071.14580602106</v>
      </c>
      <c r="L97" s="149">
        <f>'Price evolution'!L8</f>
        <v>570522.82658473717</v>
      </c>
      <c r="M97" s="149">
        <f>'Price evolution'!M8</f>
        <v>552306.59004053997</v>
      </c>
      <c r="N97" s="149">
        <f>'Price evolution'!N8</f>
        <v>534422.43617343088</v>
      </c>
      <c r="O97" s="149">
        <f>'Price evolution'!O8</f>
        <v>516870.36498340848</v>
      </c>
      <c r="P97" s="149">
        <f>'Price evolution'!P8</f>
        <v>499650.37647047429</v>
      </c>
      <c r="Q97" s="149">
        <f>'Price evolution'!Q8</f>
        <v>486456.70424129744</v>
      </c>
      <c r="R97" s="149">
        <f>'Price evolution'!R8</f>
        <v>473431.77244593727</v>
      </c>
      <c r="S97" s="149">
        <f>'Price evolution'!S8</f>
        <v>460575.5810843925</v>
      </c>
      <c r="T97" s="149">
        <f>'Price evolution'!T8</f>
        <v>447888.13015666383</v>
      </c>
      <c r="U97" s="149">
        <f>'Price evolution'!U8</f>
        <v>435369.41966275114</v>
      </c>
    </row>
    <row r="98" spans="1:22" s="155" customFormat="1" ht="12.75" x14ac:dyDescent="0.2">
      <c r="A98" s="150"/>
      <c r="B98" s="151"/>
      <c r="C98" s="519"/>
      <c r="D98" s="208" t="s">
        <v>38</v>
      </c>
      <c r="E98" s="154"/>
      <c r="F98" s="149">
        <f>'Price evolution'!F14</f>
        <v>951700</v>
      </c>
      <c r="G98" s="149">
        <f>'Price evolution'!G14</f>
        <v>913487.65441921132</v>
      </c>
      <c r="H98" s="149">
        <f>'Price evolution'!H14</f>
        <v>875275.30883842369</v>
      </c>
      <c r="I98" s="149">
        <f>'Price evolution'!I14</f>
        <v>837062.96325763501</v>
      </c>
      <c r="J98" s="149">
        <f>'Price evolution'!J14</f>
        <v>798850.61767684738</v>
      </c>
      <c r="K98" s="149">
        <f>'Price evolution'!K14</f>
        <v>760638.2720960587</v>
      </c>
      <c r="L98" s="149">
        <f>'Price evolution'!L14</f>
        <v>739156.67242182198</v>
      </c>
      <c r="M98" s="149">
        <f>'Price evolution'!M14</f>
        <v>718669.16488194349</v>
      </c>
      <c r="N98" s="149">
        <f>'Price evolution'!N14</f>
        <v>699175.7494764236</v>
      </c>
      <c r="O98" s="149">
        <f>'Price evolution'!O14</f>
        <v>680676.4262052601</v>
      </c>
      <c r="P98" s="149">
        <f>'Price evolution'!P14</f>
        <v>663171.19506845507</v>
      </c>
      <c r="Q98" s="149">
        <f>'Price evolution'!Q14</f>
        <v>651776.82698499039</v>
      </c>
      <c r="R98" s="149">
        <f>'Price evolution'!R14</f>
        <v>640935.75229455181</v>
      </c>
      <c r="S98" s="149">
        <f>'Price evolution'!S14</f>
        <v>630647.97099713923</v>
      </c>
      <c r="T98" s="149">
        <f>'Price evolution'!T14</f>
        <v>620913.48309275194</v>
      </c>
      <c r="U98" s="149">
        <f>'Price evolution'!U14</f>
        <v>611732.28858139156</v>
      </c>
    </row>
    <row r="99" spans="1:22" s="40" customFormat="1" ht="13.15" customHeight="1" x14ac:dyDescent="0.2">
      <c r="A99" s="38"/>
      <c r="B99" s="39"/>
      <c r="C99" s="519"/>
      <c r="D99" s="96" t="s">
        <v>39</v>
      </c>
      <c r="E99" s="41"/>
      <c r="F99" s="55">
        <f>F100/$E$10</f>
        <v>124833.33333333333</v>
      </c>
      <c r="G99" s="55">
        <f t="shared" ref="G99:U99" si="45">IF(G101&gt;0,(G100/$E$10+F99),0)</f>
        <v>124833.33333333333</v>
      </c>
      <c r="H99" s="55">
        <f t="shared" si="45"/>
        <v>124833.33333333333</v>
      </c>
      <c r="I99" s="55">
        <f t="shared" si="45"/>
        <v>124833.33333333333</v>
      </c>
      <c r="J99" s="55">
        <f t="shared" si="45"/>
        <v>124833.33333333333</v>
      </c>
      <c r="K99" s="55">
        <f t="shared" si="45"/>
        <v>124833.33333333333</v>
      </c>
      <c r="L99" s="55">
        <f t="shared" si="45"/>
        <v>124833.33333333333</v>
      </c>
      <c r="M99" s="55">
        <f t="shared" si="45"/>
        <v>124833.33333333333</v>
      </c>
      <c r="N99" s="55">
        <f t="shared" si="45"/>
        <v>124833.33333333333</v>
      </c>
      <c r="O99" s="55">
        <f t="shared" si="45"/>
        <v>124833.33333333333</v>
      </c>
      <c r="P99" s="55">
        <f t="shared" si="45"/>
        <v>124833.33333333333</v>
      </c>
      <c r="Q99" s="55">
        <f t="shared" si="45"/>
        <v>124833.33333333333</v>
      </c>
      <c r="R99" s="55">
        <f t="shared" si="45"/>
        <v>124833.33333333333</v>
      </c>
      <c r="S99" s="55">
        <f t="shared" si="45"/>
        <v>124833.33333333333</v>
      </c>
      <c r="T99" s="55">
        <f t="shared" si="45"/>
        <v>124833.33333333333</v>
      </c>
      <c r="U99" s="55">
        <f t="shared" si="45"/>
        <v>124833.33333333333</v>
      </c>
      <c r="V99" s="55"/>
    </row>
    <row r="100" spans="1:22" s="35" customFormat="1" ht="12.75" x14ac:dyDescent="0.2">
      <c r="A100" s="33"/>
      <c r="B100" s="34"/>
      <c r="C100" s="519"/>
      <c r="D100" s="210" t="s">
        <v>12</v>
      </c>
      <c r="E100" s="36"/>
      <c r="F100" s="228">
        <f>IF(Input!$E$16='Cost analysis'!F45,'Price evolution'!$F$32,0)</f>
        <v>2496666.6666666665</v>
      </c>
      <c r="G100" s="51">
        <f>IF(Input!$E$16='Cost analysis'!G45,'Price evolution'!$F$32,0)</f>
        <v>0</v>
      </c>
      <c r="H100" s="51">
        <f>IF(Input!$E$16='Cost analysis'!H45,'Price evolution'!$F$32,0)</f>
        <v>0</v>
      </c>
      <c r="I100" s="228">
        <f>IF(Input!$E$16='Cost analysis'!I45,'Price evolution'!$F$32,0)</f>
        <v>0</v>
      </c>
      <c r="J100" s="51">
        <f>IF(Input!$E$16='Cost analysis'!J45,'Price evolution'!$F$32,0)</f>
        <v>0</v>
      </c>
      <c r="K100" s="51">
        <f>IF(Input!$E$16='Cost analysis'!K45,'Price evolution'!$F$32,0)</f>
        <v>0</v>
      </c>
      <c r="L100" s="51">
        <f>IF(Input!$E$16='Cost analysis'!L45,'Price evolution'!$F$32,0)</f>
        <v>0</v>
      </c>
      <c r="M100" s="51">
        <f>IF(Input!$E$16='Cost analysis'!M45,'Price evolution'!$F$32,0)</f>
        <v>0</v>
      </c>
      <c r="N100" s="51">
        <f>IF(Input!$E$16='Cost analysis'!N45,'Price evolution'!$F$32,0)</f>
        <v>0</v>
      </c>
      <c r="O100" s="51">
        <f>IF(Input!$E$16='Cost analysis'!O45,'Price evolution'!$F$32,0)</f>
        <v>0</v>
      </c>
      <c r="P100" s="51">
        <f>IF(Input!$E$16='Cost analysis'!P45,'Price evolution'!$F$32,0)</f>
        <v>0</v>
      </c>
      <c r="Q100" s="51">
        <f>IF(Input!$E$16='Cost analysis'!Q45,'Price evolution'!$F$32,0)</f>
        <v>0</v>
      </c>
      <c r="R100" s="51">
        <f>IF(Input!$E$16='Cost analysis'!R45,'Price evolution'!$F$32,0)</f>
        <v>0</v>
      </c>
      <c r="S100" s="51">
        <f>IF(Input!$E$16='Cost analysis'!S45,'Price evolution'!$F$32,0)</f>
        <v>0</v>
      </c>
      <c r="T100" s="51">
        <f>IF(Input!$E$16='Cost analysis'!T45,'Price evolution'!$F$32,0)</f>
        <v>0</v>
      </c>
      <c r="U100" s="51">
        <f>IF(Input!$E$16='Cost analysis'!U45,'Price evolution'!$F$32,0)</f>
        <v>0</v>
      </c>
    </row>
    <row r="101" spans="1:22" s="35" customFormat="1" ht="12.75" x14ac:dyDescent="0.2">
      <c r="A101" s="33"/>
      <c r="B101" s="34"/>
      <c r="C101" s="519"/>
      <c r="D101" s="95" t="s">
        <v>31</v>
      </c>
      <c r="E101" s="36"/>
      <c r="F101" s="52">
        <f t="shared" ref="F101:U101" si="46">IF(F100=0,IF(((E101&gt;0)*AND(E101&lt;$E$10)),(E101+1),0),1)</f>
        <v>1</v>
      </c>
      <c r="G101" s="52">
        <f t="shared" si="46"/>
        <v>2</v>
      </c>
      <c r="H101" s="52">
        <f t="shared" si="46"/>
        <v>3</v>
      </c>
      <c r="I101" s="52">
        <f t="shared" si="46"/>
        <v>4</v>
      </c>
      <c r="J101" s="52">
        <f t="shared" si="46"/>
        <v>5</v>
      </c>
      <c r="K101" s="52">
        <f t="shared" si="46"/>
        <v>6</v>
      </c>
      <c r="L101" s="52">
        <f t="shared" si="46"/>
        <v>7</v>
      </c>
      <c r="M101" s="52">
        <f t="shared" si="46"/>
        <v>8</v>
      </c>
      <c r="N101" s="52">
        <f t="shared" si="46"/>
        <v>9</v>
      </c>
      <c r="O101" s="52">
        <f t="shared" si="46"/>
        <v>10</v>
      </c>
      <c r="P101" s="52">
        <f t="shared" si="46"/>
        <v>11</v>
      </c>
      <c r="Q101" s="52">
        <f t="shared" si="46"/>
        <v>12</v>
      </c>
      <c r="R101" s="52">
        <f t="shared" si="46"/>
        <v>13</v>
      </c>
      <c r="S101" s="52">
        <f t="shared" si="46"/>
        <v>14</v>
      </c>
      <c r="T101" s="52">
        <f t="shared" si="46"/>
        <v>15</v>
      </c>
      <c r="U101" s="52">
        <f t="shared" si="46"/>
        <v>16</v>
      </c>
      <c r="V101" s="52"/>
    </row>
    <row r="102" spans="1:22" s="40" customFormat="1" ht="13.15" customHeight="1" x14ac:dyDescent="0.2">
      <c r="A102" s="38"/>
      <c r="B102" s="39"/>
      <c r="C102" s="519"/>
      <c r="D102" s="96" t="s">
        <v>228</v>
      </c>
      <c r="E102" s="41"/>
      <c r="F102" s="55">
        <f>F103/$E$10</f>
        <v>12500</v>
      </c>
      <c r="G102" s="55">
        <f t="shared" ref="G102" si="47">IF(G104&gt;0,(G103/$E$10+F102),0)</f>
        <v>12500</v>
      </c>
      <c r="H102" s="55">
        <f t="shared" ref="H102" si="48">IF(H104&gt;0,(H103/$E$10+G102),0)</f>
        <v>12500</v>
      </c>
      <c r="I102" s="55">
        <f t="shared" ref="I102" si="49">IF(I104&gt;0,(I103/$E$10+H102),0)</f>
        <v>12500</v>
      </c>
      <c r="J102" s="55">
        <f t="shared" ref="J102" si="50">IF(J104&gt;0,(J103/$E$10+I102),0)</f>
        <v>12500</v>
      </c>
      <c r="K102" s="55">
        <f t="shared" ref="K102" si="51">IF(K104&gt;0,(K103/$E$10+J102),0)</f>
        <v>12500</v>
      </c>
      <c r="L102" s="55">
        <f t="shared" ref="L102" si="52">IF(L104&gt;0,(L103/$E$10+K102),0)</f>
        <v>12500</v>
      </c>
      <c r="M102" s="55">
        <f t="shared" ref="M102" si="53">IF(M104&gt;0,(M103/$E$10+L102),0)</f>
        <v>12500</v>
      </c>
      <c r="N102" s="55">
        <f t="shared" ref="N102" si="54">IF(N104&gt;0,(N103/$E$10+M102),0)</f>
        <v>12500</v>
      </c>
      <c r="O102" s="55">
        <f t="shared" ref="O102" si="55">IF(O104&gt;0,(O103/$E$10+N102),0)</f>
        <v>12500</v>
      </c>
      <c r="P102" s="55">
        <f t="shared" ref="P102" si="56">IF(P104&gt;0,(P103/$E$10+O102),0)</f>
        <v>12500</v>
      </c>
      <c r="Q102" s="55">
        <f t="shared" ref="Q102" si="57">IF(Q104&gt;0,(Q103/$E$10+P102),0)</f>
        <v>12500</v>
      </c>
      <c r="R102" s="55">
        <f t="shared" ref="R102" si="58">IF(R104&gt;0,(R103/$E$10+Q102),0)</f>
        <v>12500</v>
      </c>
      <c r="S102" s="55">
        <f t="shared" ref="S102" si="59">IF(S104&gt;0,(S103/$E$10+R102),0)</f>
        <v>12500</v>
      </c>
      <c r="T102" s="55">
        <f t="shared" ref="T102" si="60">IF(T104&gt;0,(T103/$E$10+S102),0)</f>
        <v>12500</v>
      </c>
      <c r="U102" s="55">
        <f t="shared" ref="U102" si="61">IF(U104&gt;0,(U103/$E$10+T102),0)</f>
        <v>12500</v>
      </c>
      <c r="V102" s="55"/>
    </row>
    <row r="103" spans="1:22" s="35" customFormat="1" ht="12.75" x14ac:dyDescent="0.2">
      <c r="A103" s="33"/>
      <c r="B103" s="34"/>
      <c r="C103" s="519"/>
      <c r="D103" s="210" t="s">
        <v>229</v>
      </c>
      <c r="E103" s="36"/>
      <c r="F103" s="228">
        <f>IF(Input!$E$16='Cost analysis'!F45,$E$44,0)</f>
        <v>250000</v>
      </c>
      <c r="G103" s="51">
        <f>IF(Input!$E$16='Cost analysis'!G45,$E$44,0)</f>
        <v>0</v>
      </c>
      <c r="H103" s="51">
        <f>IF(Input!$E$16='Cost analysis'!H45,$E$44,0)</f>
        <v>0</v>
      </c>
      <c r="I103" s="51">
        <f>IF(Input!$E$16='Cost analysis'!I45,$E$44,0)</f>
        <v>0</v>
      </c>
      <c r="J103" s="51">
        <f>IF(Input!$E$16='Cost analysis'!J45,$E$44,0)</f>
        <v>0</v>
      </c>
      <c r="K103" s="51">
        <f>IF(Input!$E$16='Cost analysis'!K45,$E$44,0)</f>
        <v>0</v>
      </c>
      <c r="L103" s="51">
        <f>IF(Input!$E$16='Cost analysis'!L45,$E$44,0)</f>
        <v>0</v>
      </c>
      <c r="M103" s="51">
        <f>IF(Input!$E$16='Cost analysis'!M45,$E$44,0)</f>
        <v>0</v>
      </c>
      <c r="N103" s="51">
        <f>IF(Input!$E$16='Cost analysis'!N45,$E$44,0)</f>
        <v>0</v>
      </c>
      <c r="O103" s="51">
        <f>IF(Input!$E$16='Cost analysis'!O45,$E$44,0)</f>
        <v>0</v>
      </c>
      <c r="P103" s="51">
        <f>IF(Input!$E$16='Cost analysis'!P45,$E$44,0)</f>
        <v>0</v>
      </c>
      <c r="Q103" s="51">
        <f>IF(Input!$E$16='Cost analysis'!Q45,$E$44,0)</f>
        <v>0</v>
      </c>
      <c r="R103" s="51">
        <f>IF(Input!$E$16='Cost analysis'!R45,$E$44,0)</f>
        <v>0</v>
      </c>
      <c r="S103" s="51">
        <f>IF(Input!$E$16='Cost analysis'!S45,$E$44,0)</f>
        <v>0</v>
      </c>
      <c r="T103" s="51">
        <f>IF(Input!$E$16='Cost analysis'!T45,$E$44,0)</f>
        <v>0</v>
      </c>
      <c r="U103" s="51">
        <f>IF(Input!$E$16='Cost analysis'!U45,$E$44,0)</f>
        <v>0</v>
      </c>
    </row>
    <row r="104" spans="1:22" s="35" customFormat="1" ht="12.75" x14ac:dyDescent="0.2">
      <c r="A104" s="33"/>
      <c r="B104" s="34"/>
      <c r="C104" s="519"/>
      <c r="D104" s="95" t="s">
        <v>31</v>
      </c>
      <c r="E104" s="36"/>
      <c r="F104" s="52">
        <f t="shared" ref="F104" si="62">IF(F103=0,IF(((E104&gt;0)*AND(E104&lt;$E$10)),(E104+1),0),1)</f>
        <v>1</v>
      </c>
      <c r="G104" s="52">
        <f t="shared" ref="G104" si="63">IF(G103=0,IF(((F104&gt;0)*AND(F104&lt;$E$10)),(F104+1),0),1)</f>
        <v>2</v>
      </c>
      <c r="H104" s="52">
        <f t="shared" ref="H104" si="64">IF(H103=0,IF(((G104&gt;0)*AND(G104&lt;$E$10)),(G104+1),0),1)</f>
        <v>3</v>
      </c>
      <c r="I104" s="52">
        <f t="shared" ref="I104" si="65">IF(I103=0,IF(((H104&gt;0)*AND(H104&lt;$E$10)),(H104+1),0),1)</f>
        <v>4</v>
      </c>
      <c r="J104" s="52">
        <f t="shared" ref="J104" si="66">IF(J103=0,IF(((I104&gt;0)*AND(I104&lt;$E$10)),(I104+1),0),1)</f>
        <v>5</v>
      </c>
      <c r="K104" s="52">
        <f t="shared" ref="K104" si="67">IF(K103=0,IF(((J104&gt;0)*AND(J104&lt;$E$10)),(J104+1),0),1)</f>
        <v>6</v>
      </c>
      <c r="L104" s="52">
        <f t="shared" ref="L104" si="68">IF(L103=0,IF(((K104&gt;0)*AND(K104&lt;$E$10)),(K104+1),0),1)</f>
        <v>7</v>
      </c>
      <c r="M104" s="52">
        <f t="shared" ref="M104" si="69">IF(M103=0,IF(((L104&gt;0)*AND(L104&lt;$E$10)),(L104+1),0),1)</f>
        <v>8</v>
      </c>
      <c r="N104" s="52">
        <f t="shared" ref="N104" si="70">IF(N103=0,IF(((M104&gt;0)*AND(M104&lt;$E$10)),(M104+1),0),1)</f>
        <v>9</v>
      </c>
      <c r="O104" s="52">
        <f t="shared" ref="O104" si="71">IF(O103=0,IF(((N104&gt;0)*AND(N104&lt;$E$10)),(N104+1),0),1)</f>
        <v>10</v>
      </c>
      <c r="P104" s="52">
        <f t="shared" ref="P104" si="72">IF(P103=0,IF(((O104&gt;0)*AND(O104&lt;$E$10)),(O104+1),0),1)</f>
        <v>11</v>
      </c>
      <c r="Q104" s="52">
        <f t="shared" ref="Q104" si="73">IF(Q103=0,IF(((P104&gt;0)*AND(P104&lt;$E$10)),(P104+1),0),1)</f>
        <v>12</v>
      </c>
      <c r="R104" s="52">
        <f t="shared" ref="R104" si="74">IF(R103=0,IF(((Q104&gt;0)*AND(Q104&lt;$E$10)),(Q104+1),0),1)</f>
        <v>13</v>
      </c>
      <c r="S104" s="52">
        <f t="shared" ref="S104" si="75">IF(S103=0,IF(((R104&gt;0)*AND(R104&lt;$E$10)),(R104+1),0),1)</f>
        <v>14</v>
      </c>
      <c r="T104" s="52">
        <f t="shared" ref="T104" si="76">IF(T103=0,IF(((S104&gt;0)*AND(S104&lt;$E$10)),(S104+1),0),1)</f>
        <v>15</v>
      </c>
      <c r="U104" s="52">
        <f t="shared" ref="U104" si="77">IF(U103=0,IF(((T104&gt;0)*AND(T104&lt;$E$10)),(T104+1),0),1)</f>
        <v>16</v>
      </c>
      <c r="V104" s="52"/>
    </row>
    <row r="105" spans="1:22" s="40" customFormat="1" ht="18" customHeight="1" x14ac:dyDescent="0.2">
      <c r="A105" s="38"/>
      <c r="B105" s="39"/>
      <c r="C105" s="519"/>
      <c r="D105" s="305" t="s">
        <v>279</v>
      </c>
      <c r="E105" s="306" t="s">
        <v>5</v>
      </c>
      <c r="F105" s="307">
        <f t="shared" ref="F105:U105" si="78">F106*F113/100*F118</f>
        <v>0</v>
      </c>
      <c r="G105" s="307">
        <f t="shared" si="78"/>
        <v>0</v>
      </c>
      <c r="H105" s="307">
        <f t="shared" si="78"/>
        <v>0</v>
      </c>
      <c r="I105" s="307">
        <f t="shared" si="78"/>
        <v>0</v>
      </c>
      <c r="J105" s="307">
        <f t="shared" si="78"/>
        <v>0</v>
      </c>
      <c r="K105" s="307">
        <f t="shared" si="78"/>
        <v>0</v>
      </c>
      <c r="L105" s="307">
        <f t="shared" si="78"/>
        <v>0</v>
      </c>
      <c r="M105" s="307">
        <f t="shared" si="78"/>
        <v>0</v>
      </c>
      <c r="N105" s="307">
        <f t="shared" si="78"/>
        <v>0</v>
      </c>
      <c r="O105" s="307">
        <f t="shared" si="78"/>
        <v>0</v>
      </c>
      <c r="P105" s="307">
        <f t="shared" si="78"/>
        <v>0</v>
      </c>
      <c r="Q105" s="307">
        <f t="shared" si="78"/>
        <v>0</v>
      </c>
      <c r="R105" s="307">
        <f t="shared" si="78"/>
        <v>0</v>
      </c>
      <c r="S105" s="307">
        <f t="shared" si="78"/>
        <v>0</v>
      </c>
      <c r="T105" s="307">
        <f t="shared" si="78"/>
        <v>0</v>
      </c>
      <c r="U105" s="307">
        <f t="shared" si="78"/>
        <v>0</v>
      </c>
    </row>
    <row r="106" spans="1:22" s="40" customFormat="1" ht="13.15" customHeight="1" x14ac:dyDescent="0.2">
      <c r="A106" s="38"/>
      <c r="B106" s="39"/>
      <c r="C106" s="519"/>
      <c r="D106" s="96" t="s">
        <v>45</v>
      </c>
      <c r="E106" s="41"/>
      <c r="F106" s="42">
        <f t="shared" ref="F106:U106" si="79">IF((F93=0),AVERAGE(F107:F108),((F107*F94+F108*F95)/F93))</f>
        <v>10.839499999999999</v>
      </c>
      <c r="G106" s="42">
        <f t="shared" si="79"/>
        <v>10.731299999999999</v>
      </c>
      <c r="H106" s="42">
        <f t="shared" si="79"/>
        <v>10.623099999999999</v>
      </c>
      <c r="I106" s="42">
        <f t="shared" si="79"/>
        <v>10.514899999999999</v>
      </c>
      <c r="J106" s="42">
        <f t="shared" si="79"/>
        <v>10.406699999999999</v>
      </c>
      <c r="K106" s="42">
        <f t="shared" si="79"/>
        <v>10.298500000000001</v>
      </c>
      <c r="L106" s="42">
        <f t="shared" si="79"/>
        <v>10.221049999999998</v>
      </c>
      <c r="M106" s="42">
        <f t="shared" si="79"/>
        <v>10.143600000000001</v>
      </c>
      <c r="N106" s="42">
        <f t="shared" si="79"/>
        <v>10.06615</v>
      </c>
      <c r="O106" s="42">
        <f t="shared" si="79"/>
        <v>9.9886999999999997</v>
      </c>
      <c r="P106" s="42">
        <f t="shared" si="79"/>
        <v>9.911249999999999</v>
      </c>
      <c r="Q106" s="42">
        <f t="shared" si="79"/>
        <v>9.8419500000000006</v>
      </c>
      <c r="R106" s="42">
        <f t="shared" si="79"/>
        <v>9.7726499999999987</v>
      </c>
      <c r="S106" s="42">
        <f t="shared" si="79"/>
        <v>9.7033500000000004</v>
      </c>
      <c r="T106" s="42">
        <f t="shared" si="79"/>
        <v>9.6340500000000002</v>
      </c>
      <c r="U106" s="42">
        <f t="shared" si="79"/>
        <v>9.5647500000000001</v>
      </c>
    </row>
    <row r="107" spans="1:22" s="40" customFormat="1" ht="13.15" customHeight="1" x14ac:dyDescent="0.2">
      <c r="A107" s="38"/>
      <c r="B107" s="39"/>
      <c r="C107" s="519"/>
      <c r="D107" s="96" t="s">
        <v>46</v>
      </c>
      <c r="E107" s="41"/>
      <c r="F107" s="113">
        <f>F109+F111</f>
        <v>8.6449999999999996</v>
      </c>
      <c r="G107" s="113">
        <f t="shared" ref="G107:U107" si="80">G109+G111</f>
        <v>8.5455999999999985</v>
      </c>
      <c r="H107" s="113">
        <f t="shared" si="80"/>
        <v>8.4461999999999975</v>
      </c>
      <c r="I107" s="113">
        <f t="shared" si="80"/>
        <v>8.3467999999999982</v>
      </c>
      <c r="J107" s="113">
        <f t="shared" si="80"/>
        <v>8.247399999999999</v>
      </c>
      <c r="K107" s="113">
        <f t="shared" si="80"/>
        <v>8.1479999999999997</v>
      </c>
      <c r="L107" s="113">
        <f t="shared" si="80"/>
        <v>8.0510000000000002</v>
      </c>
      <c r="M107" s="113">
        <f t="shared" si="80"/>
        <v>7.9539999999999997</v>
      </c>
      <c r="N107" s="113">
        <f t="shared" si="80"/>
        <v>7.8569999999999993</v>
      </c>
      <c r="O107" s="113">
        <f t="shared" si="80"/>
        <v>7.7600000000000007</v>
      </c>
      <c r="P107" s="113">
        <f t="shared" si="80"/>
        <v>7.6630000000000003</v>
      </c>
      <c r="Q107" s="113">
        <f t="shared" si="80"/>
        <v>7.5991999999999997</v>
      </c>
      <c r="R107" s="113">
        <f t="shared" si="80"/>
        <v>7.5353999999999992</v>
      </c>
      <c r="S107" s="113">
        <f t="shared" si="80"/>
        <v>7.4715999999999987</v>
      </c>
      <c r="T107" s="113">
        <f t="shared" si="80"/>
        <v>7.4077999999999999</v>
      </c>
      <c r="U107" s="113">
        <f t="shared" si="80"/>
        <v>7.3439999999999994</v>
      </c>
    </row>
    <row r="108" spans="1:22" s="40" customFormat="1" ht="13.15" customHeight="1" x14ac:dyDescent="0.2">
      <c r="A108" s="38"/>
      <c r="B108" s="39"/>
      <c r="C108" s="519"/>
      <c r="D108" s="96" t="s">
        <v>47</v>
      </c>
      <c r="E108" s="41"/>
      <c r="F108" s="113">
        <f>F110+F112</f>
        <v>13.033999999999999</v>
      </c>
      <c r="G108" s="113">
        <f t="shared" ref="G108:U108" si="81">G110+G112</f>
        <v>12.917</v>
      </c>
      <c r="H108" s="113">
        <f t="shared" si="81"/>
        <v>12.8</v>
      </c>
      <c r="I108" s="113">
        <f t="shared" si="81"/>
        <v>12.683</v>
      </c>
      <c r="J108" s="113">
        <f t="shared" si="81"/>
        <v>12.565999999999999</v>
      </c>
      <c r="K108" s="113">
        <f t="shared" si="81"/>
        <v>12.449</v>
      </c>
      <c r="L108" s="113">
        <f t="shared" si="81"/>
        <v>12.391099999999998</v>
      </c>
      <c r="M108" s="113">
        <f t="shared" si="81"/>
        <v>12.333200000000001</v>
      </c>
      <c r="N108" s="113">
        <f t="shared" si="81"/>
        <v>12.275300000000001</v>
      </c>
      <c r="O108" s="113">
        <f t="shared" si="81"/>
        <v>12.2174</v>
      </c>
      <c r="P108" s="113">
        <f t="shared" si="81"/>
        <v>12.1595</v>
      </c>
      <c r="Q108" s="113">
        <f t="shared" si="81"/>
        <v>12.0847</v>
      </c>
      <c r="R108" s="113">
        <f t="shared" si="81"/>
        <v>12.0099</v>
      </c>
      <c r="S108" s="113">
        <f t="shared" si="81"/>
        <v>11.9351</v>
      </c>
      <c r="T108" s="113">
        <f t="shared" si="81"/>
        <v>11.860300000000001</v>
      </c>
      <c r="U108" s="113">
        <f t="shared" si="81"/>
        <v>11.785499999999999</v>
      </c>
    </row>
    <row r="109" spans="1:22" s="72" customFormat="1" ht="13.15" customHeight="1" x14ac:dyDescent="0.2">
      <c r="A109" s="38"/>
      <c r="B109" s="39"/>
      <c r="C109" s="519"/>
      <c r="D109" s="210" t="s">
        <v>43</v>
      </c>
      <c r="E109" s="71"/>
      <c r="F109" s="32">
        <f t="shared" ref="F109:U109" si="82">F$111*$E$14</f>
        <v>0</v>
      </c>
      <c r="G109" s="32">
        <f t="shared" si="82"/>
        <v>0</v>
      </c>
      <c r="H109" s="32">
        <f t="shared" si="82"/>
        <v>0</v>
      </c>
      <c r="I109" s="32">
        <f t="shared" si="82"/>
        <v>0</v>
      </c>
      <c r="J109" s="32">
        <f t="shared" si="82"/>
        <v>0</v>
      </c>
      <c r="K109" s="32">
        <f t="shared" si="82"/>
        <v>0</v>
      </c>
      <c r="L109" s="32">
        <f t="shared" si="82"/>
        <v>0</v>
      </c>
      <c r="M109" s="32">
        <f t="shared" si="82"/>
        <v>0</v>
      </c>
      <c r="N109" s="32">
        <f t="shared" si="82"/>
        <v>0</v>
      </c>
      <c r="O109" s="32">
        <f t="shared" si="82"/>
        <v>0</v>
      </c>
      <c r="P109" s="32">
        <f t="shared" si="82"/>
        <v>0</v>
      </c>
      <c r="Q109" s="32">
        <f t="shared" si="82"/>
        <v>0</v>
      </c>
      <c r="R109" s="32">
        <f t="shared" si="82"/>
        <v>0</v>
      </c>
      <c r="S109" s="32">
        <f t="shared" si="82"/>
        <v>0</v>
      </c>
      <c r="T109" s="32">
        <f t="shared" si="82"/>
        <v>0</v>
      </c>
      <c r="U109" s="32">
        <f t="shared" si="82"/>
        <v>0</v>
      </c>
    </row>
    <row r="110" spans="1:22" s="72" customFormat="1" ht="13.15" customHeight="1" x14ac:dyDescent="0.2">
      <c r="A110" s="38"/>
      <c r="B110" s="39"/>
      <c r="C110" s="519"/>
      <c r="D110" s="210" t="s">
        <v>44</v>
      </c>
      <c r="E110" s="71"/>
      <c r="F110" s="32">
        <f t="shared" ref="F110:U110" si="83">F$112*$E$14</f>
        <v>0</v>
      </c>
      <c r="G110" s="32">
        <f t="shared" si="83"/>
        <v>0</v>
      </c>
      <c r="H110" s="32">
        <f t="shared" si="83"/>
        <v>0</v>
      </c>
      <c r="I110" s="32">
        <f t="shared" si="83"/>
        <v>0</v>
      </c>
      <c r="J110" s="32">
        <f t="shared" si="83"/>
        <v>0</v>
      </c>
      <c r="K110" s="32">
        <f t="shared" si="83"/>
        <v>0</v>
      </c>
      <c r="L110" s="32">
        <f t="shared" si="83"/>
        <v>0</v>
      </c>
      <c r="M110" s="32">
        <f t="shared" si="83"/>
        <v>0</v>
      </c>
      <c r="N110" s="32">
        <f t="shared" si="83"/>
        <v>0</v>
      </c>
      <c r="O110" s="32">
        <f t="shared" si="83"/>
        <v>0</v>
      </c>
      <c r="P110" s="32">
        <f t="shared" si="83"/>
        <v>0</v>
      </c>
      <c r="Q110" s="32">
        <f t="shared" si="83"/>
        <v>0</v>
      </c>
      <c r="R110" s="32">
        <f t="shared" si="83"/>
        <v>0</v>
      </c>
      <c r="S110" s="32">
        <f t="shared" si="83"/>
        <v>0</v>
      </c>
      <c r="T110" s="32">
        <f t="shared" si="83"/>
        <v>0</v>
      </c>
      <c r="U110" s="32">
        <f t="shared" si="83"/>
        <v>0</v>
      </c>
    </row>
    <row r="111" spans="1:22" s="29" customFormat="1" ht="13.15" customHeight="1" x14ac:dyDescent="0.2">
      <c r="A111" s="23"/>
      <c r="B111" s="24"/>
      <c r="C111" s="519"/>
      <c r="D111" s="210" t="s">
        <v>41</v>
      </c>
      <c r="E111" s="30"/>
      <c r="F111" s="264">
        <f>'Environmental analysis'!F61</f>
        <v>8.6449999999999996</v>
      </c>
      <c r="G111" s="264">
        <f>'Environmental analysis'!G61</f>
        <v>8.5455999999999985</v>
      </c>
      <c r="H111" s="264">
        <f>'Environmental analysis'!H61</f>
        <v>8.4461999999999975</v>
      </c>
      <c r="I111" s="264">
        <f>'Environmental analysis'!I61</f>
        <v>8.3467999999999982</v>
      </c>
      <c r="J111" s="264">
        <f>'Environmental analysis'!J61</f>
        <v>8.247399999999999</v>
      </c>
      <c r="K111" s="264">
        <f>'Environmental analysis'!K61</f>
        <v>8.1479999999999997</v>
      </c>
      <c r="L111" s="264">
        <f>'Environmental analysis'!L61</f>
        <v>8.0510000000000002</v>
      </c>
      <c r="M111" s="264">
        <f>'Environmental analysis'!M61</f>
        <v>7.9539999999999997</v>
      </c>
      <c r="N111" s="264">
        <f>'Environmental analysis'!N61</f>
        <v>7.8569999999999993</v>
      </c>
      <c r="O111" s="264">
        <f>'Environmental analysis'!O61</f>
        <v>7.7600000000000007</v>
      </c>
      <c r="P111" s="264">
        <f>'Environmental analysis'!P61</f>
        <v>7.6630000000000003</v>
      </c>
      <c r="Q111" s="264">
        <f>'Environmental analysis'!Q61</f>
        <v>7.5991999999999997</v>
      </c>
      <c r="R111" s="264">
        <f>'Environmental analysis'!R61</f>
        <v>7.5353999999999992</v>
      </c>
      <c r="S111" s="264">
        <f>'Environmental analysis'!S61</f>
        <v>7.4715999999999987</v>
      </c>
      <c r="T111" s="264">
        <f>'Environmental analysis'!T61</f>
        <v>7.4077999999999999</v>
      </c>
      <c r="U111" s="264">
        <f>'Environmental analysis'!U61</f>
        <v>7.3439999999999994</v>
      </c>
    </row>
    <row r="112" spans="1:22" s="29" customFormat="1" ht="13.15" customHeight="1" x14ac:dyDescent="0.2">
      <c r="A112" s="23"/>
      <c r="B112" s="24"/>
      <c r="C112" s="519"/>
      <c r="D112" s="210" t="s">
        <v>42</v>
      </c>
      <c r="E112" s="30"/>
      <c r="F112" s="264">
        <f>'Environmental analysis'!F64</f>
        <v>13.033999999999999</v>
      </c>
      <c r="G112" s="264">
        <f>'Environmental analysis'!G64</f>
        <v>12.917</v>
      </c>
      <c r="H112" s="264">
        <f>'Environmental analysis'!H64</f>
        <v>12.8</v>
      </c>
      <c r="I112" s="264">
        <f>'Environmental analysis'!I64</f>
        <v>12.683</v>
      </c>
      <c r="J112" s="264">
        <f>'Environmental analysis'!J64</f>
        <v>12.565999999999999</v>
      </c>
      <c r="K112" s="264">
        <f>'Environmental analysis'!K64</f>
        <v>12.449</v>
      </c>
      <c r="L112" s="264">
        <f>'Environmental analysis'!L64</f>
        <v>12.391099999999998</v>
      </c>
      <c r="M112" s="264">
        <f>'Environmental analysis'!M64</f>
        <v>12.333200000000001</v>
      </c>
      <c r="N112" s="264">
        <f>'Environmental analysis'!N64</f>
        <v>12.275300000000001</v>
      </c>
      <c r="O112" s="264">
        <f>'Environmental analysis'!O64</f>
        <v>12.2174</v>
      </c>
      <c r="P112" s="264">
        <f>'Environmental analysis'!P64</f>
        <v>12.1595</v>
      </c>
      <c r="Q112" s="264">
        <f>'Environmental analysis'!Q64</f>
        <v>12.0847</v>
      </c>
      <c r="R112" s="264">
        <f>'Environmental analysis'!R64</f>
        <v>12.0099</v>
      </c>
      <c r="S112" s="264">
        <f>'Environmental analysis'!S64</f>
        <v>11.9351</v>
      </c>
      <c r="T112" s="264">
        <f>'Environmental analysis'!T64</f>
        <v>11.860300000000001</v>
      </c>
      <c r="U112" s="264">
        <f>'Environmental analysis'!U64</f>
        <v>11.785499999999999</v>
      </c>
    </row>
    <row r="113" spans="1:21" s="40" customFormat="1" ht="13.15" customHeight="1" x14ac:dyDescent="0.2">
      <c r="A113" s="38"/>
      <c r="B113" s="39"/>
      <c r="C113" s="519"/>
      <c r="D113" s="96" t="s">
        <v>63</v>
      </c>
      <c r="E113" s="41"/>
      <c r="F113" s="54">
        <f t="shared" ref="F113:U113" si="84">F114*F93</f>
        <v>0</v>
      </c>
      <c r="G113" s="54">
        <f t="shared" si="84"/>
        <v>0</v>
      </c>
      <c r="H113" s="54">
        <f t="shared" si="84"/>
        <v>0</v>
      </c>
      <c r="I113" s="54">
        <f t="shared" si="84"/>
        <v>0</v>
      </c>
      <c r="J113" s="54">
        <f t="shared" si="84"/>
        <v>0</v>
      </c>
      <c r="K113" s="54">
        <f t="shared" si="84"/>
        <v>0</v>
      </c>
      <c r="L113" s="54">
        <f t="shared" si="84"/>
        <v>0</v>
      </c>
      <c r="M113" s="54">
        <f t="shared" si="84"/>
        <v>0</v>
      </c>
      <c r="N113" s="54">
        <f t="shared" si="84"/>
        <v>0</v>
      </c>
      <c r="O113" s="54">
        <f t="shared" si="84"/>
        <v>0</v>
      </c>
      <c r="P113" s="54">
        <f t="shared" si="84"/>
        <v>0</v>
      </c>
      <c r="Q113" s="54">
        <f t="shared" si="84"/>
        <v>0</v>
      </c>
      <c r="R113" s="54">
        <f t="shared" si="84"/>
        <v>0</v>
      </c>
      <c r="S113" s="54">
        <f t="shared" si="84"/>
        <v>0</v>
      </c>
      <c r="T113" s="54">
        <f t="shared" si="84"/>
        <v>0</v>
      </c>
      <c r="U113" s="54">
        <f t="shared" si="84"/>
        <v>0</v>
      </c>
    </row>
    <row r="114" spans="1:21" s="40" customFormat="1" ht="13.15" customHeight="1" x14ac:dyDescent="0.2">
      <c r="A114" s="38"/>
      <c r="B114" s="39"/>
      <c r="C114" s="519"/>
      <c r="D114" s="96" t="s">
        <v>62</v>
      </c>
      <c r="E114" s="41"/>
      <c r="F114" s="91">
        <f t="shared" ref="F114:T114" si="85">F115*$E$12</f>
        <v>55317.460317460318</v>
      </c>
      <c r="G114" s="91">
        <f t="shared" si="85"/>
        <v>56088.049886621317</v>
      </c>
      <c r="H114" s="91">
        <f t="shared" si="85"/>
        <v>56860.952380952374</v>
      </c>
      <c r="I114" s="91">
        <f t="shared" si="85"/>
        <v>57636.167800453521</v>
      </c>
      <c r="J114" s="91">
        <f t="shared" si="85"/>
        <v>58413.696145124712</v>
      </c>
      <c r="K114" s="91">
        <f t="shared" si="85"/>
        <v>59193.537414965991</v>
      </c>
      <c r="L114" s="91">
        <f t="shared" si="85"/>
        <v>60043.845804988669</v>
      </c>
      <c r="M114" s="91">
        <f t="shared" si="85"/>
        <v>60896.69841269841</v>
      </c>
      <c r="N114" s="91">
        <f t="shared" si="85"/>
        <v>61752.095238095244</v>
      </c>
      <c r="O114" s="91">
        <f t="shared" si="85"/>
        <v>62610.036281179142</v>
      </c>
      <c r="P114" s="91">
        <f t="shared" si="85"/>
        <v>63470.521541950118</v>
      </c>
      <c r="Q114" s="91">
        <f t="shared" si="85"/>
        <v>63885.306122448979</v>
      </c>
      <c r="R114" s="91">
        <f t="shared" si="85"/>
        <v>64300.861678004534</v>
      </c>
      <c r="S114" s="91">
        <f t="shared" si="85"/>
        <v>64717.188208616783</v>
      </c>
      <c r="T114" s="91">
        <f t="shared" si="85"/>
        <v>65134.285714285717</v>
      </c>
      <c r="U114" s="91">
        <f>U115*$E$12</f>
        <v>65552.154195011331</v>
      </c>
    </row>
    <row r="115" spans="1:21" s="29" customFormat="1" ht="13.15" customHeight="1" x14ac:dyDescent="0.2">
      <c r="A115" s="23"/>
      <c r="B115" s="24"/>
      <c r="C115" s="519"/>
      <c r="D115" s="210" t="s">
        <v>8</v>
      </c>
      <c r="E115" s="30"/>
      <c r="F115" s="77">
        <f t="shared" ref="F115:U115" si="86">(365-F117)*F116</f>
        <v>287</v>
      </c>
      <c r="G115" s="77">
        <f t="shared" si="86"/>
        <v>290.99799999999999</v>
      </c>
      <c r="H115" s="77">
        <f t="shared" si="86"/>
        <v>295.00799999999998</v>
      </c>
      <c r="I115" s="77">
        <f t="shared" si="86"/>
        <v>299.03000000000003</v>
      </c>
      <c r="J115" s="77">
        <f t="shared" si="86"/>
        <v>303.06399999999996</v>
      </c>
      <c r="K115" s="77">
        <f t="shared" si="86"/>
        <v>307.11</v>
      </c>
      <c r="L115" s="77">
        <f t="shared" si="86"/>
        <v>311.52160000000003</v>
      </c>
      <c r="M115" s="77">
        <f t="shared" si="86"/>
        <v>315.94639999999998</v>
      </c>
      <c r="N115" s="77">
        <f t="shared" si="86"/>
        <v>320.38440000000003</v>
      </c>
      <c r="O115" s="77">
        <f t="shared" si="86"/>
        <v>324.8356</v>
      </c>
      <c r="P115" s="77">
        <f t="shared" si="86"/>
        <v>329.3</v>
      </c>
      <c r="Q115" s="77">
        <f t="shared" si="86"/>
        <v>331.452</v>
      </c>
      <c r="R115" s="77">
        <f t="shared" si="86"/>
        <v>333.608</v>
      </c>
      <c r="S115" s="77">
        <f t="shared" si="86"/>
        <v>335.76800000000003</v>
      </c>
      <c r="T115" s="77">
        <f t="shared" si="86"/>
        <v>337.93200000000002</v>
      </c>
      <c r="U115" s="77">
        <f t="shared" si="86"/>
        <v>340.09999999999997</v>
      </c>
    </row>
    <row r="116" spans="1:21" s="29" customFormat="1" ht="13.15" customHeight="1" x14ac:dyDescent="0.2">
      <c r="A116" s="23"/>
      <c r="B116" s="24"/>
      <c r="C116" s="519"/>
      <c r="D116" s="210" t="s">
        <v>143</v>
      </c>
      <c r="E116" s="30"/>
      <c r="F116" s="281">
        <f>'Price evolution'!F24</f>
        <v>0.82</v>
      </c>
      <c r="G116" s="281">
        <f>'Price evolution'!G24</f>
        <v>0.83</v>
      </c>
      <c r="H116" s="281">
        <f>'Price evolution'!H24</f>
        <v>0.84</v>
      </c>
      <c r="I116" s="281">
        <f>'Price evolution'!I24</f>
        <v>0.85</v>
      </c>
      <c r="J116" s="281">
        <f>'Price evolution'!J24</f>
        <v>0.86</v>
      </c>
      <c r="K116" s="281">
        <f>'Price evolution'!K24</f>
        <v>0.87</v>
      </c>
      <c r="L116" s="281">
        <f>'Price evolution'!L24</f>
        <v>0.88100000000000001</v>
      </c>
      <c r="M116" s="281">
        <f>'Price evolution'!M24</f>
        <v>0.89200000000000002</v>
      </c>
      <c r="N116" s="281">
        <f>'Price evolution'!N24</f>
        <v>0.90300000000000002</v>
      </c>
      <c r="O116" s="281">
        <f>'Price evolution'!O24</f>
        <v>0.91400000000000003</v>
      </c>
      <c r="P116" s="281">
        <f>'Price evolution'!P24</f>
        <v>0.92500000000000004</v>
      </c>
      <c r="Q116" s="281">
        <f>'Price evolution'!Q24</f>
        <v>0.93</v>
      </c>
      <c r="R116" s="281">
        <f>'Price evolution'!R24</f>
        <v>0.93500000000000005</v>
      </c>
      <c r="S116" s="281">
        <f>'Price evolution'!S24</f>
        <v>0.94000000000000006</v>
      </c>
      <c r="T116" s="281">
        <f>'Price evolution'!T24</f>
        <v>0.94500000000000006</v>
      </c>
      <c r="U116" s="281">
        <f>'Price evolution'!U24</f>
        <v>0.95</v>
      </c>
    </row>
    <row r="117" spans="1:21" s="29" customFormat="1" ht="13.15" customHeight="1" x14ac:dyDescent="0.2">
      <c r="A117" s="23"/>
      <c r="B117" s="24"/>
      <c r="C117" s="519"/>
      <c r="D117" s="210" t="s">
        <v>144</v>
      </c>
      <c r="E117" s="30"/>
      <c r="F117" s="266">
        <f>'Price evolution'!F25</f>
        <v>15</v>
      </c>
      <c r="G117" s="266">
        <f>'Price evolution'!G25</f>
        <v>14.4</v>
      </c>
      <c r="H117" s="266">
        <f>'Price evolution'!H25</f>
        <v>13.8</v>
      </c>
      <c r="I117" s="266">
        <f>'Price evolution'!I25</f>
        <v>13.200000000000001</v>
      </c>
      <c r="J117" s="266">
        <f>'Price evolution'!J25</f>
        <v>12.600000000000001</v>
      </c>
      <c r="K117" s="266">
        <f>'Price evolution'!K25</f>
        <v>12</v>
      </c>
      <c r="L117" s="266">
        <f>'Price evolution'!L25</f>
        <v>11.4</v>
      </c>
      <c r="M117" s="266">
        <f>'Price evolution'!M25</f>
        <v>10.8</v>
      </c>
      <c r="N117" s="266">
        <f>'Price evolution'!N25</f>
        <v>10.200000000000001</v>
      </c>
      <c r="O117" s="266">
        <f>'Price evolution'!O25</f>
        <v>9.6000000000000014</v>
      </c>
      <c r="P117" s="266">
        <f>'Price evolution'!P25</f>
        <v>9</v>
      </c>
      <c r="Q117" s="266">
        <f>'Price evolution'!Q25</f>
        <v>8.6</v>
      </c>
      <c r="R117" s="266">
        <f>'Price evolution'!R25</f>
        <v>8.1999999999999993</v>
      </c>
      <c r="S117" s="266">
        <f>'Price evolution'!S25</f>
        <v>7.7999999999999989</v>
      </c>
      <c r="T117" s="266">
        <f>'Price evolution'!T25</f>
        <v>7.3999999999999986</v>
      </c>
      <c r="U117" s="266">
        <f>'Price evolution'!U25</f>
        <v>7</v>
      </c>
    </row>
    <row r="118" spans="1:21" s="40" customFormat="1" ht="13.15" customHeight="1" x14ac:dyDescent="0.2">
      <c r="A118" s="38"/>
      <c r="B118" s="39"/>
      <c r="C118" s="519"/>
      <c r="D118" s="96" t="s">
        <v>7</v>
      </c>
      <c r="E118" s="41"/>
      <c r="F118" s="349">
        <f>F122*F120+F121*F119</f>
        <v>4.8591176470588229</v>
      </c>
      <c r="G118" s="349">
        <f t="shared" ref="G118:U118" si="87">G122*G120+G121*G119</f>
        <v>4.8998731372173303</v>
      </c>
      <c r="H118" s="349">
        <f t="shared" si="87"/>
        <v>4.9409704610375655</v>
      </c>
      <c r="I118" s="349">
        <f t="shared" si="87"/>
        <v>4.9824124856241045</v>
      </c>
      <c r="J118" s="349">
        <f t="shared" si="87"/>
        <v>5.0242021021291476</v>
      </c>
      <c r="K118" s="349">
        <f t="shared" si="87"/>
        <v>5.0663422259542248</v>
      </c>
      <c r="L118" s="349">
        <f t="shared" si="87"/>
        <v>5.1088357969535796</v>
      </c>
      <c r="M118" s="349">
        <f t="shared" si="87"/>
        <v>5.151685779639263</v>
      </c>
      <c r="N118" s="349">
        <f t="shared" si="87"/>
        <v>5.1948951633879563</v>
      </c>
      <c r="O118" s="349">
        <f t="shared" si="87"/>
        <v>5.2384669626495137</v>
      </c>
      <c r="P118" s="349">
        <f t="shared" si="87"/>
        <v>5.2824042171572652</v>
      </c>
      <c r="Q118" s="349">
        <f t="shared" si="87"/>
        <v>5.3267099921400805</v>
      </c>
      <c r="R118" s="349">
        <f t="shared" si="87"/>
        <v>5.3713873785362063</v>
      </c>
      <c r="S118" s="349">
        <f t="shared" si="87"/>
        <v>5.4164394932089124</v>
      </c>
      <c r="T118" s="349">
        <f t="shared" si="87"/>
        <v>5.4618694791639237</v>
      </c>
      <c r="U118" s="349">
        <f t="shared" si="87"/>
        <v>5.5076805057686933</v>
      </c>
    </row>
    <row r="119" spans="1:21" s="29" customFormat="1" ht="13.15" customHeight="1" x14ac:dyDescent="0.2">
      <c r="A119" s="23"/>
      <c r="B119" s="24"/>
      <c r="C119" s="519"/>
      <c r="D119" s="210" t="s">
        <v>76</v>
      </c>
      <c r="E119" s="30"/>
      <c r="F119" s="264">
        <f>'Price evolution'!F48</f>
        <v>4.8591176470588229</v>
      </c>
      <c r="G119" s="264">
        <f>'Price evolution'!G48</f>
        <v>4.8998731372173303</v>
      </c>
      <c r="H119" s="264">
        <f>'Price evolution'!H48</f>
        <v>4.9409704610375655</v>
      </c>
      <c r="I119" s="264">
        <f>'Price evolution'!I48</f>
        <v>4.9824124856241045</v>
      </c>
      <c r="J119" s="264">
        <f>'Price evolution'!J48</f>
        <v>5.0242021021291476</v>
      </c>
      <c r="K119" s="264">
        <f>'Price evolution'!K48</f>
        <v>5.0663422259542248</v>
      </c>
      <c r="L119" s="264">
        <f>'Price evolution'!L48</f>
        <v>5.1088357969535796</v>
      </c>
      <c r="M119" s="264">
        <f>'Price evolution'!M48</f>
        <v>5.151685779639263</v>
      </c>
      <c r="N119" s="264">
        <f>'Price evolution'!N48</f>
        <v>5.1948951633879563</v>
      </c>
      <c r="O119" s="264">
        <f>'Price evolution'!O48</f>
        <v>5.2384669626495137</v>
      </c>
      <c r="P119" s="264">
        <f>'Price evolution'!P48</f>
        <v>5.2824042171572652</v>
      </c>
      <c r="Q119" s="264">
        <f>'Price evolution'!Q48</f>
        <v>5.3267099921400805</v>
      </c>
      <c r="R119" s="264">
        <f>'Price evolution'!R48</f>
        <v>5.3713873785362063</v>
      </c>
      <c r="S119" s="264">
        <f>'Price evolution'!S48</f>
        <v>5.4164394932089124</v>
      </c>
      <c r="T119" s="264">
        <f>'Price evolution'!T48</f>
        <v>5.4618694791639237</v>
      </c>
      <c r="U119" s="264">
        <f>'Price evolution'!U48</f>
        <v>5.5076805057686933</v>
      </c>
    </row>
    <row r="120" spans="1:21" s="29" customFormat="1" ht="13.15" customHeight="1" x14ac:dyDescent="0.2">
      <c r="A120" s="23"/>
      <c r="B120" s="24"/>
      <c r="C120" s="519"/>
      <c r="D120" s="210" t="s">
        <v>77</v>
      </c>
      <c r="E120" s="30"/>
      <c r="F120" s="264">
        <f>IF(F119=0,0,IFERROR(F119+'Environmental analysis'!F74,0))</f>
        <v>7.0678074866310148</v>
      </c>
      <c r="G120" s="264">
        <f>IF(G119=0,0,IFERROR(G119+'Environmental analysis'!G74,0))</f>
        <v>6.9425580177931412</v>
      </c>
      <c r="H120" s="264">
        <f>IF(H119=0,0,IFERROR(H119+'Environmental analysis'!H74,0))</f>
        <v>6.8300362118277063</v>
      </c>
      <c r="I120" s="264">
        <f>IF(I119=0,0,IFERROR(I119+'Environmental analysis'!I74,0))</f>
        <v>6.7293183788124118</v>
      </c>
      <c r="J120" s="264">
        <f>IF(J119=0,0,IFERROR(J119+'Environmental analysis'!J74,0))</f>
        <v>6.6395509784725721</v>
      </c>
      <c r="K120" s="264">
        <f>IF(K119=0,0,IFERROR(K119+'Environmental analysis'!K74,0))</f>
        <v>6.5599452033477155</v>
      </c>
      <c r="L120" s="264">
        <f>IF(L119=0,0,IFERROR(L119+'Environmental analysis'!L74,0))</f>
        <v>6.4922245646571906</v>
      </c>
      <c r="M120" s="264">
        <f>IF(M119=0,0,IFERROR(M119+'Environmental analysis'!M74,0))</f>
        <v>6.4329328716527359</v>
      </c>
      <c r="N120" s="264">
        <f>IF(N119=0,0,IFERROR(N119+'Environmental analysis'!N74,0))</f>
        <v>6.3814796830924028</v>
      </c>
      <c r="O120" s="264">
        <f>IF(O119=0,0,IFERROR(O119+'Environmental analysis'!O74,0))</f>
        <v>6.3373187901313885</v>
      </c>
      <c r="P120" s="264">
        <f>IF(P119=0,0,IFERROR(P119+'Environmental analysis'!P74,0))</f>
        <v>6.2999448486433973</v>
      </c>
      <c r="Q120" s="264">
        <f>IF(Q119=0,0,IFERROR(Q119+'Environmental analysis'!Q74,0))</f>
        <v>6.272560778918379</v>
      </c>
      <c r="R120" s="264">
        <f>IF(R119=0,0,IFERROR(R119+'Environmental analysis'!R74,0))</f>
        <v>6.2506233987756419</v>
      </c>
      <c r="S120" s="264">
        <f>IF(S119=0,0,IFERROR(S119+'Environmental analysis'!S74,0))</f>
        <v>6.2337722004479517</v>
      </c>
      <c r="T120" s="264">
        <f>IF(T119=0,0,IFERROR(T119+'Environmental analysis'!T74,0))</f>
        <v>6.2216732650957622</v>
      </c>
      <c r="U120" s="264">
        <f>IF(U119=0,0,IFERROR(U119+'Environmental analysis'!U74,0))</f>
        <v>6.2140172693503537</v>
      </c>
    </row>
    <row r="121" spans="1:21" s="203" customFormat="1" ht="13.15" customHeight="1" x14ac:dyDescent="0.2">
      <c r="A121" s="201"/>
      <c r="B121" s="202"/>
      <c r="C121" s="519"/>
      <c r="D121" s="72" t="s">
        <v>78</v>
      </c>
      <c r="E121" s="204"/>
      <c r="F121" s="205">
        <f>1-F122</f>
        <v>1</v>
      </c>
      <c r="G121" s="205">
        <f t="shared" ref="G121:U121" si="88">1-G122</f>
        <v>1</v>
      </c>
      <c r="H121" s="205">
        <f t="shared" si="88"/>
        <v>1</v>
      </c>
      <c r="I121" s="205">
        <f t="shared" si="88"/>
        <v>1</v>
      </c>
      <c r="J121" s="205">
        <f t="shared" si="88"/>
        <v>1</v>
      </c>
      <c r="K121" s="205">
        <f t="shared" si="88"/>
        <v>1</v>
      </c>
      <c r="L121" s="205">
        <f t="shared" si="88"/>
        <v>1</v>
      </c>
      <c r="M121" s="205">
        <f t="shared" si="88"/>
        <v>1</v>
      </c>
      <c r="N121" s="205">
        <f t="shared" si="88"/>
        <v>1</v>
      </c>
      <c r="O121" s="205">
        <f t="shared" si="88"/>
        <v>1</v>
      </c>
      <c r="P121" s="205">
        <f t="shared" si="88"/>
        <v>1</v>
      </c>
      <c r="Q121" s="205">
        <f t="shared" si="88"/>
        <v>1</v>
      </c>
      <c r="R121" s="205">
        <f t="shared" si="88"/>
        <v>1</v>
      </c>
      <c r="S121" s="205">
        <f t="shared" si="88"/>
        <v>1</v>
      </c>
      <c r="T121" s="205">
        <f t="shared" si="88"/>
        <v>1</v>
      </c>
      <c r="U121" s="205">
        <f t="shared" si="88"/>
        <v>1</v>
      </c>
    </row>
    <row r="122" spans="1:21" s="203" customFormat="1" ht="13.15" customHeight="1" x14ac:dyDescent="0.2">
      <c r="A122" s="201"/>
      <c r="B122" s="202"/>
      <c r="C122" s="519"/>
      <c r="D122" s="72" t="s">
        <v>79</v>
      </c>
      <c r="E122" s="204"/>
      <c r="F122" s="206">
        <f>IF(Input!$E$14="Yes",$E$13,0)</f>
        <v>0</v>
      </c>
      <c r="G122" s="206">
        <f>IF(Input!$E$14="Yes",$E$13,0)</f>
        <v>0</v>
      </c>
      <c r="H122" s="206">
        <f>IF(Input!$E$14="Yes",$E$13,0)</f>
        <v>0</v>
      </c>
      <c r="I122" s="206">
        <f>IF(Input!$E$14="Yes",$E$13,0)</f>
        <v>0</v>
      </c>
      <c r="J122" s="206">
        <f>IF(Input!$E$14="Yes",$E$13,0)</f>
        <v>0</v>
      </c>
      <c r="K122" s="206">
        <f>IF(Input!$E$14="Yes",$E$13,0)</f>
        <v>0</v>
      </c>
      <c r="L122" s="206">
        <f>IF(Input!$E$14="Yes",$E$13,0)</f>
        <v>0</v>
      </c>
      <c r="M122" s="206">
        <f>IF(Input!$E$14="Yes",$E$13,0)</f>
        <v>0</v>
      </c>
      <c r="N122" s="206">
        <f>IF(Input!$E$14="Yes",$E$13,0)</f>
        <v>0</v>
      </c>
      <c r="O122" s="206">
        <f>IF(Input!$E$14="Yes",$E$13,0)</f>
        <v>0</v>
      </c>
      <c r="P122" s="206">
        <f>IF(Input!$E$14="Yes",$E$13,0)</f>
        <v>0</v>
      </c>
      <c r="Q122" s="206">
        <f>IF(Input!$E$14="Yes",$E$13,0)</f>
        <v>0</v>
      </c>
      <c r="R122" s="206">
        <f>IF(Input!$E$14="Yes",$E$13,0)</f>
        <v>0</v>
      </c>
      <c r="S122" s="206">
        <f>IF(Input!$E$14="Yes",$E$13,0)</f>
        <v>0</v>
      </c>
      <c r="T122" s="206">
        <f>IF(Input!$E$14="Yes",$E$13,0)</f>
        <v>0</v>
      </c>
      <c r="U122" s="206">
        <f>IF(Input!$E$14="Yes",$E$13,0)</f>
        <v>0</v>
      </c>
    </row>
    <row r="123" spans="1:21" s="40" customFormat="1" ht="18" customHeight="1" x14ac:dyDescent="0.2">
      <c r="A123" s="38"/>
      <c r="B123" s="39"/>
      <c r="C123" s="519"/>
      <c r="D123" s="305" t="s">
        <v>280</v>
      </c>
      <c r="E123" s="306" t="s">
        <v>10</v>
      </c>
      <c r="F123" s="307">
        <f>F124+F127+F134+F137</f>
        <v>151000</v>
      </c>
      <c r="G123" s="307">
        <f t="shared" ref="G123:U123" si="89">G124+G127+G134+G137</f>
        <v>151000</v>
      </c>
      <c r="H123" s="307">
        <f>H124+H127+H134+H137</f>
        <v>151000</v>
      </c>
      <c r="I123" s="307">
        <f t="shared" si="89"/>
        <v>151000</v>
      </c>
      <c r="J123" s="307">
        <f t="shared" si="89"/>
        <v>151000</v>
      </c>
      <c r="K123" s="307">
        <f t="shared" si="89"/>
        <v>151000</v>
      </c>
      <c r="L123" s="307">
        <f t="shared" si="89"/>
        <v>151000</v>
      </c>
      <c r="M123" s="307">
        <f t="shared" si="89"/>
        <v>151000</v>
      </c>
      <c r="N123" s="307">
        <f t="shared" si="89"/>
        <v>151000</v>
      </c>
      <c r="O123" s="307">
        <f t="shared" si="89"/>
        <v>151000</v>
      </c>
      <c r="P123" s="307">
        <f t="shared" si="89"/>
        <v>151000</v>
      </c>
      <c r="Q123" s="307">
        <f t="shared" si="89"/>
        <v>151000</v>
      </c>
      <c r="R123" s="307">
        <f t="shared" si="89"/>
        <v>151000</v>
      </c>
      <c r="S123" s="307">
        <f t="shared" si="89"/>
        <v>151000</v>
      </c>
      <c r="T123" s="307">
        <f t="shared" si="89"/>
        <v>151000</v>
      </c>
      <c r="U123" s="307">
        <f t="shared" si="89"/>
        <v>151000</v>
      </c>
    </row>
    <row r="124" spans="1:21" s="40" customFormat="1" ht="13.15" customHeight="1" x14ac:dyDescent="0.2">
      <c r="A124" s="38"/>
      <c r="B124" s="39"/>
      <c r="C124" s="519"/>
      <c r="D124" s="96" t="s">
        <v>17</v>
      </c>
      <c r="E124" s="41"/>
      <c r="F124" s="56">
        <f t="shared" ref="F124:U124" si="90">F114*(F125*F94+F126*F95)</f>
        <v>0</v>
      </c>
      <c r="G124" s="56">
        <f t="shared" si="90"/>
        <v>0</v>
      </c>
      <c r="H124" s="56">
        <f t="shared" si="90"/>
        <v>0</v>
      </c>
      <c r="I124" s="56">
        <f t="shared" si="90"/>
        <v>0</v>
      </c>
      <c r="J124" s="56">
        <f t="shared" si="90"/>
        <v>0</v>
      </c>
      <c r="K124" s="56">
        <f t="shared" si="90"/>
        <v>0</v>
      </c>
      <c r="L124" s="56">
        <f t="shared" si="90"/>
        <v>0</v>
      </c>
      <c r="M124" s="56">
        <f t="shared" si="90"/>
        <v>0</v>
      </c>
      <c r="N124" s="56">
        <f t="shared" si="90"/>
        <v>0</v>
      </c>
      <c r="O124" s="56">
        <f t="shared" si="90"/>
        <v>0</v>
      </c>
      <c r="P124" s="56">
        <f t="shared" si="90"/>
        <v>0</v>
      </c>
      <c r="Q124" s="56">
        <f t="shared" si="90"/>
        <v>0</v>
      </c>
      <c r="R124" s="56">
        <f t="shared" si="90"/>
        <v>0</v>
      </c>
      <c r="S124" s="56">
        <f t="shared" si="90"/>
        <v>0</v>
      </c>
      <c r="T124" s="56">
        <f t="shared" si="90"/>
        <v>0</v>
      </c>
      <c r="U124" s="56">
        <f t="shared" si="90"/>
        <v>0</v>
      </c>
    </row>
    <row r="125" spans="1:21" s="40" customFormat="1" ht="13.15" customHeight="1" x14ac:dyDescent="0.2">
      <c r="A125" s="38"/>
      <c r="B125" s="39"/>
      <c r="C125" s="519"/>
      <c r="D125" s="163" t="s">
        <v>64</v>
      </c>
      <c r="E125" s="41"/>
      <c r="F125" s="267">
        <f>'Price evolution'!F10</f>
        <v>9.6416263240210007E-2</v>
      </c>
      <c r="G125" s="267">
        <f>'Price evolution'!G10</f>
        <v>9.5719768888180443E-2</v>
      </c>
      <c r="H125" s="267">
        <f>'Price evolution'!H10</f>
        <v>9.5023274536150865E-2</v>
      </c>
      <c r="I125" s="267">
        <f>'Price evolution'!I10</f>
        <v>9.4326780184121189E-2</v>
      </c>
      <c r="J125" s="267">
        <f>'Price evolution'!J10</f>
        <v>9.3630285832091625E-2</v>
      </c>
      <c r="K125" s="267">
        <f>'Price evolution'!K10</f>
        <v>9.2933791480062047E-2</v>
      </c>
      <c r="L125" s="267">
        <f>'Price evolution'!L10</f>
        <v>9.2237297128032372E-2</v>
      </c>
      <c r="M125" s="267">
        <f>'Price evolution'!M10</f>
        <v>9.1540802776002711E-2</v>
      </c>
      <c r="N125" s="267">
        <f>'Price evolution'!N10</f>
        <v>9.0844308423973036E-2</v>
      </c>
      <c r="O125" s="267">
        <f>'Price evolution'!O10</f>
        <v>9.0147814071943375E-2</v>
      </c>
      <c r="P125" s="267">
        <f>'Price evolution'!P10</f>
        <v>8.9451319719913713E-2</v>
      </c>
      <c r="Q125" s="267">
        <f>'Price evolution'!Q10</f>
        <v>8.8754825367884121E-2</v>
      </c>
      <c r="R125" s="267">
        <f>'Price evolution'!R10</f>
        <v>8.805833101585446E-2</v>
      </c>
      <c r="S125" s="267">
        <f>'Price evolution'!S10</f>
        <v>8.7361836663824896E-2</v>
      </c>
      <c r="T125" s="267">
        <f>'Price evolution'!T10</f>
        <v>8.6665342311795318E-2</v>
      </c>
      <c r="U125" s="267">
        <f>'Price evolution'!U10</f>
        <v>8.5968847959765643E-2</v>
      </c>
    </row>
    <row r="126" spans="1:21" s="97" customFormat="1" ht="13.15" customHeight="1" x14ac:dyDescent="0.2">
      <c r="A126" s="38"/>
      <c r="B126" s="39"/>
      <c r="C126" s="519"/>
      <c r="D126" s="163" t="s">
        <v>65</v>
      </c>
      <c r="E126" s="68"/>
      <c r="F126" s="267">
        <f>'Price evolution'!F16</f>
        <v>0.13486990740740701</v>
      </c>
      <c r="G126" s="267">
        <f>'Price evolution'!G16</f>
        <v>0.13400839537036999</v>
      </c>
      <c r="H126" s="267">
        <f>'Price evolution'!H16</f>
        <v>0.13314688333333299</v>
      </c>
      <c r="I126" s="267">
        <f>'Price evolution'!I16</f>
        <v>0.13228537129629611</v>
      </c>
      <c r="J126" s="267">
        <f>'Price evolution'!J16</f>
        <v>0.13142385925925909</v>
      </c>
      <c r="K126" s="267">
        <f>'Price evolution'!K16</f>
        <v>0.13056234722222207</v>
      </c>
      <c r="L126" s="267">
        <f>'Price evolution'!L16</f>
        <v>0.12970083518518491</v>
      </c>
      <c r="M126" s="267">
        <f>'Price evolution'!M16</f>
        <v>0.12883932314814792</v>
      </c>
      <c r="N126" s="267">
        <f>'Price evolution'!N16</f>
        <v>0.12797781111111076</v>
      </c>
      <c r="O126" s="267">
        <f>'Price evolution'!O16</f>
        <v>0.12711629907407376</v>
      </c>
      <c r="P126" s="267">
        <f>'Price evolution'!P16</f>
        <v>0.12625478703703674</v>
      </c>
      <c r="Q126" s="267">
        <f>'Price evolution'!Q16</f>
        <v>0.12539327499999972</v>
      </c>
      <c r="R126" s="267">
        <f>'Price evolution'!R16</f>
        <v>0.12453176296296271</v>
      </c>
      <c r="S126" s="267">
        <f>'Price evolution'!S16</f>
        <v>0.12367025092592569</v>
      </c>
      <c r="T126" s="267">
        <f>'Price evolution'!T16</f>
        <v>0.12280873888888867</v>
      </c>
      <c r="U126" s="267">
        <f>'Price evolution'!U16</f>
        <v>0.12194722685185168</v>
      </c>
    </row>
    <row r="127" spans="1:21" s="100" customFormat="1" ht="13.15" customHeight="1" x14ac:dyDescent="0.2">
      <c r="A127" s="38"/>
      <c r="B127" s="39"/>
      <c r="C127" s="519"/>
      <c r="D127" s="96" t="s">
        <v>18</v>
      </c>
      <c r="E127" s="98"/>
      <c r="F127" s="99">
        <f>F128+F131</f>
        <v>0</v>
      </c>
      <c r="G127" s="99">
        <f t="shared" ref="G127:U127" si="91">G128+G131</f>
        <v>0</v>
      </c>
      <c r="H127" s="99">
        <f t="shared" si="91"/>
        <v>0</v>
      </c>
      <c r="I127" s="99">
        <f t="shared" si="91"/>
        <v>0</v>
      </c>
      <c r="J127" s="99">
        <f t="shared" si="91"/>
        <v>0</v>
      </c>
      <c r="K127" s="99">
        <f t="shared" si="91"/>
        <v>0</v>
      </c>
      <c r="L127" s="99">
        <f t="shared" si="91"/>
        <v>0</v>
      </c>
      <c r="M127" s="99">
        <f t="shared" si="91"/>
        <v>0</v>
      </c>
      <c r="N127" s="99">
        <f t="shared" si="91"/>
        <v>0</v>
      </c>
      <c r="O127" s="99">
        <f t="shared" si="91"/>
        <v>0</v>
      </c>
      <c r="P127" s="99">
        <f t="shared" si="91"/>
        <v>0</v>
      </c>
      <c r="Q127" s="99">
        <f t="shared" si="91"/>
        <v>0</v>
      </c>
      <c r="R127" s="99">
        <f t="shared" si="91"/>
        <v>0</v>
      </c>
      <c r="S127" s="99">
        <f t="shared" si="91"/>
        <v>0</v>
      </c>
      <c r="T127" s="99">
        <f t="shared" si="91"/>
        <v>0</v>
      </c>
      <c r="U127" s="99">
        <f t="shared" si="91"/>
        <v>0</v>
      </c>
    </row>
    <row r="128" spans="1:21" s="97" customFormat="1" ht="13.15" customHeight="1" x14ac:dyDescent="0.2">
      <c r="A128" s="38"/>
      <c r="B128" s="39"/>
      <c r="C128" s="519"/>
      <c r="D128" s="265" t="s">
        <v>134</v>
      </c>
      <c r="E128" s="68"/>
      <c r="F128" s="268">
        <f t="shared" ref="F128:U128" si="92">(F129+F130)*F114*F94</f>
        <v>0</v>
      </c>
      <c r="G128" s="268">
        <f t="shared" si="92"/>
        <v>0</v>
      </c>
      <c r="H128" s="268">
        <f t="shared" si="92"/>
        <v>0</v>
      </c>
      <c r="I128" s="268">
        <f t="shared" si="92"/>
        <v>0</v>
      </c>
      <c r="J128" s="268">
        <f t="shared" si="92"/>
        <v>0</v>
      </c>
      <c r="K128" s="268">
        <f t="shared" si="92"/>
        <v>0</v>
      </c>
      <c r="L128" s="268">
        <f t="shared" si="92"/>
        <v>0</v>
      </c>
      <c r="M128" s="268">
        <f t="shared" si="92"/>
        <v>0</v>
      </c>
      <c r="N128" s="268">
        <f t="shared" si="92"/>
        <v>0</v>
      </c>
      <c r="O128" s="268">
        <f t="shared" si="92"/>
        <v>0</v>
      </c>
      <c r="P128" s="268">
        <f t="shared" si="92"/>
        <v>0</v>
      </c>
      <c r="Q128" s="268">
        <f t="shared" si="92"/>
        <v>0</v>
      </c>
      <c r="R128" s="268">
        <f t="shared" si="92"/>
        <v>0</v>
      </c>
      <c r="S128" s="268">
        <f t="shared" si="92"/>
        <v>0</v>
      </c>
      <c r="T128" s="268">
        <f t="shared" si="92"/>
        <v>0</v>
      </c>
      <c r="U128" s="268">
        <f t="shared" si="92"/>
        <v>0</v>
      </c>
    </row>
    <row r="129" spans="1:22" s="97" customFormat="1" ht="13.15" customHeight="1" x14ac:dyDescent="0.2">
      <c r="A129" s="38"/>
      <c r="B129" s="39"/>
      <c r="C129" s="519"/>
      <c r="D129" s="265" t="s">
        <v>129</v>
      </c>
      <c r="E129" s="111"/>
      <c r="F129" s="267">
        <f>'Price evolution'!F11</f>
        <v>0.17062453486648499</v>
      </c>
      <c r="G129" s="267">
        <f>'Price evolution'!G11</f>
        <v>0.16146588529479031</v>
      </c>
      <c r="H129" s="267">
        <f>'Price evolution'!H11</f>
        <v>0.15230723572309546</v>
      </c>
      <c r="I129" s="267">
        <f>'Price evolution'!I11</f>
        <v>0.1431485861514008</v>
      </c>
      <c r="J129" s="267">
        <f>'Price evolution'!J11</f>
        <v>0.13398993657970595</v>
      </c>
      <c r="K129" s="267">
        <f>'Price evolution'!K11</f>
        <v>0.12483128700801127</v>
      </c>
      <c r="L129" s="267">
        <f>'Price evolution'!L11</f>
        <v>0.11434322733967128</v>
      </c>
      <c r="M129" s="267">
        <f>'Price evolution'!M11</f>
        <v>0.10420450035451213</v>
      </c>
      <c r="N129" s="267">
        <f>'Price evolution'!N11</f>
        <v>9.4415106052533601E-2</v>
      </c>
      <c r="O129" s="267">
        <f>'Price evolution'!O11</f>
        <v>8.4975044433735727E-2</v>
      </c>
      <c r="P129" s="267">
        <f>'Price evolution'!P11</f>
        <v>7.5884315498118499E-2</v>
      </c>
      <c r="Q129" s="267">
        <f>'Price evolution'!Q11</f>
        <v>7.24654980111063E-2</v>
      </c>
      <c r="R129" s="267">
        <f>'Price evolution'!R11</f>
        <v>6.8761307232483776E-2</v>
      </c>
      <c r="S129" s="267">
        <f>'Price evolution'!S11</f>
        <v>6.4771743162251094E-2</v>
      </c>
      <c r="T129" s="267">
        <f>'Price evolution'!T11</f>
        <v>6.0496805800408421E-2</v>
      </c>
      <c r="U129" s="267">
        <f>'Price evolution'!U11</f>
        <v>5.593649514695543E-2</v>
      </c>
    </row>
    <row r="130" spans="1:22" s="97" customFormat="1" ht="13.15" customHeight="1" x14ac:dyDescent="0.2">
      <c r="A130" s="38"/>
      <c r="B130" s="39"/>
      <c r="C130" s="519"/>
      <c r="D130" s="265" t="s">
        <v>131</v>
      </c>
      <c r="E130" s="68"/>
      <c r="F130" s="267">
        <f>'Price evolution'!F13</f>
        <v>0.1042644375</v>
      </c>
      <c r="G130" s="267">
        <f>'Price evolution'!G13</f>
        <v>0.10302341397058828</v>
      </c>
      <c r="H130" s="267">
        <f>'Price evolution'!H13</f>
        <v>0.10178239044117646</v>
      </c>
      <c r="I130" s="267">
        <f>'Price evolution'!I13</f>
        <v>0.10054136691176474</v>
      </c>
      <c r="J130" s="267">
        <f>'Price evolution'!J13</f>
        <v>9.9300343382352912E-2</v>
      </c>
      <c r="K130" s="267">
        <f>'Price evolution'!K13</f>
        <v>9.8059319852941182E-2</v>
      </c>
      <c r="L130" s="267">
        <f>'Price evolution'!L13</f>
        <v>9.6255374999999976E-2</v>
      </c>
      <c r="M130" s="267">
        <f>'Price evolution'!M13</f>
        <v>9.4451430147058757E-2</v>
      </c>
      <c r="N130" s="267">
        <f>'Price evolution'!N13</f>
        <v>9.2647485294117635E-2</v>
      </c>
      <c r="O130" s="267">
        <f>'Price evolution'!O13</f>
        <v>9.0843540441176429E-2</v>
      </c>
      <c r="P130" s="267">
        <f>'Price evolution'!P13</f>
        <v>8.9039595588235307E-2</v>
      </c>
      <c r="Q130" s="267">
        <f>'Price evolution'!Q13</f>
        <v>8.8039595588235306E-2</v>
      </c>
      <c r="R130" s="267">
        <f>'Price evolution'!R13</f>
        <v>8.7039595588235305E-2</v>
      </c>
      <c r="S130" s="267">
        <f>'Price evolution'!S13</f>
        <v>8.6039595588235318E-2</v>
      </c>
      <c r="T130" s="267">
        <f>'Price evolution'!T13</f>
        <v>8.5039595588235317E-2</v>
      </c>
      <c r="U130" s="267">
        <f>'Price evolution'!U13</f>
        <v>8.4039595588235316E-2</v>
      </c>
    </row>
    <row r="131" spans="1:22" s="97" customFormat="1" ht="13.15" customHeight="1" x14ac:dyDescent="0.2">
      <c r="A131" s="38"/>
      <c r="B131" s="39"/>
      <c r="C131" s="519"/>
      <c r="D131" s="265" t="s">
        <v>133</v>
      </c>
      <c r="E131" s="111"/>
      <c r="F131" s="268">
        <f t="shared" ref="F131:U131" si="93">(F132+F133)*F114*F95</f>
        <v>0</v>
      </c>
      <c r="G131" s="268">
        <f t="shared" si="93"/>
        <v>0</v>
      </c>
      <c r="H131" s="268">
        <f t="shared" si="93"/>
        <v>0</v>
      </c>
      <c r="I131" s="268">
        <f t="shared" si="93"/>
        <v>0</v>
      </c>
      <c r="J131" s="268">
        <f t="shared" si="93"/>
        <v>0</v>
      </c>
      <c r="K131" s="268">
        <f t="shared" si="93"/>
        <v>0</v>
      </c>
      <c r="L131" s="268">
        <f t="shared" si="93"/>
        <v>0</v>
      </c>
      <c r="M131" s="268">
        <f t="shared" si="93"/>
        <v>0</v>
      </c>
      <c r="N131" s="268">
        <f t="shared" si="93"/>
        <v>0</v>
      </c>
      <c r="O131" s="268">
        <f t="shared" si="93"/>
        <v>0</v>
      </c>
      <c r="P131" s="268">
        <f t="shared" si="93"/>
        <v>0</v>
      </c>
      <c r="Q131" s="268">
        <f t="shared" si="93"/>
        <v>0</v>
      </c>
      <c r="R131" s="268">
        <f t="shared" si="93"/>
        <v>0</v>
      </c>
      <c r="S131" s="268">
        <f t="shared" si="93"/>
        <v>0</v>
      </c>
      <c r="T131" s="268">
        <f t="shared" si="93"/>
        <v>0</v>
      </c>
      <c r="U131" s="268">
        <f t="shared" si="93"/>
        <v>0</v>
      </c>
    </row>
    <row r="132" spans="1:22" s="97" customFormat="1" ht="13.15" customHeight="1" x14ac:dyDescent="0.2">
      <c r="A132" s="38"/>
      <c r="B132" s="39"/>
      <c r="C132" s="519"/>
      <c r="D132" s="265" t="s">
        <v>130</v>
      </c>
      <c r="E132" s="111"/>
      <c r="F132" s="267">
        <f>'Price evolution'!F17</f>
        <v>0.22720926839146199</v>
      </c>
      <c r="G132" s="267">
        <f>'Price evolution'!G17</f>
        <v>0.21438778762330554</v>
      </c>
      <c r="H132" s="267">
        <f>'Price evolution'!H17</f>
        <v>0.20156630685514887</v>
      </c>
      <c r="I132" s="267">
        <f>'Price evolution'!I17</f>
        <v>0.18874482608699239</v>
      </c>
      <c r="J132" s="267">
        <f>'Price evolution'!J17</f>
        <v>0.17592334531883597</v>
      </c>
      <c r="K132" s="267">
        <f>'Price evolution'!K17</f>
        <v>0.16310186455067949</v>
      </c>
      <c r="L132" s="267">
        <f>'Price evolution'!L17</f>
        <v>0.15201840965909116</v>
      </c>
      <c r="M132" s="267">
        <f>'Price evolution'!M17</f>
        <v>0.14068063733019875</v>
      </c>
      <c r="N132" s="267">
        <f>'Price evolution'!N17</f>
        <v>0.12908854756400209</v>
      </c>
      <c r="O132" s="267">
        <f>'Price evolution'!O17</f>
        <v>0.1172421403605016</v>
      </c>
      <c r="P132" s="267">
        <f>'Price evolution'!P17</f>
        <v>0.10514141571969701</v>
      </c>
      <c r="Q132" s="267">
        <f>'Price evolution'!Q17</f>
        <v>9.8030723693867006E-2</v>
      </c>
      <c r="R132" s="267">
        <f>'Price evolution'!R17</f>
        <v>9.1093819656152153E-2</v>
      </c>
      <c r="S132" s="267">
        <f>'Price evolution'!S17</f>
        <v>8.4330703606552038E-2</v>
      </c>
      <c r="T132" s="267">
        <f>'Price evolution'!T17</f>
        <v>7.7741375545067298E-2</v>
      </c>
      <c r="U132" s="267">
        <f>'Price evolution'!U17</f>
        <v>7.1325835471697283E-2</v>
      </c>
    </row>
    <row r="133" spans="1:22" s="97" customFormat="1" ht="13.15" customHeight="1" x14ac:dyDescent="0.2">
      <c r="A133" s="38"/>
      <c r="B133" s="39"/>
      <c r="C133" s="519"/>
      <c r="D133" s="265" t="s">
        <v>132</v>
      </c>
      <c r="E133" s="111"/>
      <c r="F133" s="267">
        <f>'Price evolution'!F19</f>
        <v>0.127597390625</v>
      </c>
      <c r="G133" s="267">
        <f>'Price evolution'!G19</f>
        <v>0.1262355926470588</v>
      </c>
      <c r="H133" s="267">
        <f>'Price evolution'!H19</f>
        <v>0.1248737946691176</v>
      </c>
      <c r="I133" s="267">
        <f>'Price evolution'!I19</f>
        <v>0.12351199669117641</v>
      </c>
      <c r="J133" s="267">
        <f>'Price evolution'!J19</f>
        <v>0.12215019871323522</v>
      </c>
      <c r="K133" s="267">
        <f>'Price evolution'!K19</f>
        <v>0.12078840073529415</v>
      </c>
      <c r="L133" s="267">
        <f>'Price evolution'!L19</f>
        <v>0.11858259926470584</v>
      </c>
      <c r="M133" s="267">
        <f>'Price evolution'!M19</f>
        <v>0.11637679779411766</v>
      </c>
      <c r="N133" s="267">
        <f>'Price evolution'!N19</f>
        <v>0.11417099632352948</v>
      </c>
      <c r="O133" s="267">
        <f>'Price evolution'!O19</f>
        <v>0.11196519485294117</v>
      </c>
      <c r="P133" s="267">
        <f>'Price evolution'!P19</f>
        <v>0.10975939338235298</v>
      </c>
      <c r="Q133" s="267">
        <f>'Price evolution'!Q19</f>
        <v>0.10875934297100295</v>
      </c>
      <c r="R133" s="267">
        <f>'Price evolution'!R19</f>
        <v>0.10775931776532796</v>
      </c>
      <c r="S133" s="267">
        <f>'Price evolution'!S19</f>
        <v>0.10675931776532803</v>
      </c>
      <c r="T133" s="267">
        <f>'Price evolution'!T19</f>
        <v>0.10575934297100303</v>
      </c>
      <c r="U133" s="267">
        <f>'Price evolution'!U19</f>
        <v>0.10475939338235296</v>
      </c>
    </row>
    <row r="134" spans="1:22" s="100" customFormat="1" ht="13.15" customHeight="1" x14ac:dyDescent="0.2">
      <c r="A134" s="38"/>
      <c r="B134" s="39"/>
      <c r="C134" s="519"/>
      <c r="D134" s="96" t="s">
        <v>20</v>
      </c>
      <c r="E134" s="98"/>
      <c r="F134" s="56">
        <f t="shared" ref="F134:U134" si="94">F114*(F135*F94+F136*F95)</f>
        <v>0</v>
      </c>
      <c r="G134" s="56">
        <f t="shared" si="94"/>
        <v>0</v>
      </c>
      <c r="H134" s="56">
        <f t="shared" si="94"/>
        <v>0</v>
      </c>
      <c r="I134" s="56">
        <f t="shared" si="94"/>
        <v>0</v>
      </c>
      <c r="J134" s="56">
        <f t="shared" si="94"/>
        <v>0</v>
      </c>
      <c r="K134" s="56">
        <f t="shared" si="94"/>
        <v>0</v>
      </c>
      <c r="L134" s="56">
        <f t="shared" si="94"/>
        <v>0</v>
      </c>
      <c r="M134" s="56">
        <f t="shared" si="94"/>
        <v>0</v>
      </c>
      <c r="N134" s="56">
        <f t="shared" si="94"/>
        <v>0</v>
      </c>
      <c r="O134" s="56">
        <f t="shared" si="94"/>
        <v>0</v>
      </c>
      <c r="P134" s="56">
        <f t="shared" si="94"/>
        <v>0</v>
      </c>
      <c r="Q134" s="56">
        <f t="shared" si="94"/>
        <v>0</v>
      </c>
      <c r="R134" s="56">
        <f t="shared" si="94"/>
        <v>0</v>
      </c>
      <c r="S134" s="56">
        <f t="shared" si="94"/>
        <v>0</v>
      </c>
      <c r="T134" s="56">
        <f t="shared" si="94"/>
        <v>0</v>
      </c>
      <c r="U134" s="56">
        <f t="shared" si="94"/>
        <v>0</v>
      </c>
      <c r="V134" s="119"/>
    </row>
    <row r="135" spans="1:22" s="165" customFormat="1" ht="13.15" customHeight="1" x14ac:dyDescent="0.2">
      <c r="A135" s="168"/>
      <c r="B135" s="169"/>
      <c r="C135" s="519"/>
      <c r="D135" s="211" t="s">
        <v>135</v>
      </c>
      <c r="E135" s="164"/>
      <c r="F135" s="267">
        <f>'Price evolution'!F12</f>
        <v>0.17581333333333299</v>
      </c>
      <c r="G135" s="267">
        <f>'Price evolution'!G12</f>
        <v>0.16651466666666626</v>
      </c>
      <c r="H135" s="267">
        <f>'Price evolution'!H12</f>
        <v>0.15721599999999969</v>
      </c>
      <c r="I135" s="267">
        <f>'Price evolution'!I12</f>
        <v>0.14791733333333296</v>
      </c>
      <c r="J135" s="267">
        <f>'Price evolution'!J12</f>
        <v>0.13861866666666642</v>
      </c>
      <c r="K135" s="267">
        <f>'Price evolution'!K12</f>
        <v>0.12931999999999966</v>
      </c>
      <c r="L135" s="267">
        <f>'Price evolution'!L12</f>
        <v>0.11962006588235273</v>
      </c>
      <c r="M135" s="267">
        <f>'Price evolution'!M12</f>
        <v>0.10974275764705864</v>
      </c>
      <c r="N135" s="267">
        <f>'Price evolution'!N12</f>
        <v>9.9688075294117454E-2</v>
      </c>
      <c r="O135" s="267">
        <f>'Price evolution'!O12</f>
        <v>8.9456018823529299E-2</v>
      </c>
      <c r="P135" s="267">
        <f>'Price evolution'!P12</f>
        <v>7.9046588235294049E-2</v>
      </c>
      <c r="Q135" s="267">
        <f>'Price evolution'!Q12</f>
        <v>7.2890513655419931E-2</v>
      </c>
      <c r="R135" s="267">
        <f>'Price evolution'!R12</f>
        <v>6.6999714012541803E-2</v>
      </c>
      <c r="S135" s="267">
        <f>'Price evolution'!S12</f>
        <v>6.1374189306659478E-2</v>
      </c>
      <c r="T135" s="267">
        <f>'Price evolution'!T12</f>
        <v>5.6013939537772957E-2</v>
      </c>
      <c r="U135" s="267">
        <f>'Price evolution'!U12</f>
        <v>5.0918964705882218E-2</v>
      </c>
    </row>
    <row r="136" spans="1:22" s="165" customFormat="1" ht="13.15" customHeight="1" x14ac:dyDescent="0.2">
      <c r="A136" s="168"/>
      <c r="B136" s="169"/>
      <c r="C136" s="519"/>
      <c r="D136" s="211" t="s">
        <v>136</v>
      </c>
      <c r="E136" s="164"/>
      <c r="F136" s="267">
        <f>'Price evolution'!F18</f>
        <v>0.246433333333333</v>
      </c>
      <c r="G136" s="267">
        <f>'Price evolution'!G18</f>
        <v>0.23301066666666639</v>
      </c>
      <c r="H136" s="267">
        <f>'Price evolution'!H18</f>
        <v>0.21958799999999978</v>
      </c>
      <c r="I136" s="267">
        <f>'Price evolution'!I18</f>
        <v>0.20616533333333295</v>
      </c>
      <c r="J136" s="267">
        <f>'Price evolution'!J18</f>
        <v>0.19274266666666634</v>
      </c>
      <c r="K136" s="267">
        <f>'Price evolution'!K18</f>
        <v>0.17971887949946838</v>
      </c>
      <c r="L136" s="267">
        <f>'Price evolution'!L18</f>
        <v>0.16422224601648028</v>
      </c>
      <c r="M136" s="267">
        <f>'Price evolution'!M18</f>
        <v>0.14942483365201645</v>
      </c>
      <c r="N136" s="267">
        <f>'Price evolution'!N18</f>
        <v>0.13532664240607667</v>
      </c>
      <c r="O136" s="267">
        <f>'Price evolution'!O18</f>
        <v>0.12192767227866143</v>
      </c>
      <c r="P136" s="267">
        <f>'Price evolution'!P18</f>
        <v>0.10922792326977024</v>
      </c>
      <c r="Q136" s="267">
        <f>'Price evolution'!Q18</f>
        <v>0.10331273717594827</v>
      </c>
      <c r="R136" s="267">
        <f>'Price evolution'!R18</f>
        <v>9.6985947875699266E-2</v>
      </c>
      <c r="S136" s="267">
        <f>'Price evolution'!S18</f>
        <v>9.0247555369022778E-2</v>
      </c>
      <c r="T136" s="267">
        <f>'Price evolution'!T18</f>
        <v>8.3097559655919251E-2</v>
      </c>
      <c r="U136" s="267">
        <f>'Price evolution'!U18</f>
        <v>7.5535960736388463E-2</v>
      </c>
    </row>
    <row r="137" spans="1:22" s="40" customFormat="1" ht="13.15" customHeight="1" x14ac:dyDescent="0.2">
      <c r="A137" s="38"/>
      <c r="B137" s="39"/>
      <c r="C137" s="519"/>
      <c r="D137" s="96" t="s">
        <v>19</v>
      </c>
      <c r="F137" s="106">
        <f>IF(F99&lt;&gt;0,'Price evolution'!$F$33,0)</f>
        <v>151000</v>
      </c>
      <c r="G137" s="106">
        <f>IF(G99&lt;&gt;0,'Price evolution'!$F$33,0)</f>
        <v>151000</v>
      </c>
      <c r="H137" s="106">
        <f>IF(H99&lt;&gt;0,'Price evolution'!$F$33,0)</f>
        <v>151000</v>
      </c>
      <c r="I137" s="106">
        <f>IF(I99&lt;&gt;0,'Price evolution'!$F$33,0)</f>
        <v>151000</v>
      </c>
      <c r="J137" s="106">
        <f>IF(J99&lt;&gt;0,'Price evolution'!$F$33,0)</f>
        <v>151000</v>
      </c>
      <c r="K137" s="106">
        <f>IF(K99&lt;&gt;0,'Price evolution'!$F$33,0)</f>
        <v>151000</v>
      </c>
      <c r="L137" s="106">
        <f>IF(L99&lt;&gt;0,'Price evolution'!$F$33,0)</f>
        <v>151000</v>
      </c>
      <c r="M137" s="106">
        <f>IF(M99&lt;&gt;0,'Price evolution'!$F$33,0)</f>
        <v>151000</v>
      </c>
      <c r="N137" s="106">
        <f>IF(N99&lt;&gt;0,'Price evolution'!$F$33,0)</f>
        <v>151000</v>
      </c>
      <c r="O137" s="106">
        <f>IF(O99&lt;&gt;0,'Price evolution'!$F$33,0)</f>
        <v>151000</v>
      </c>
      <c r="P137" s="106">
        <f>IF(P99&lt;&gt;0,'Price evolution'!$F$33,0)</f>
        <v>151000</v>
      </c>
      <c r="Q137" s="106">
        <f>IF(Q99&lt;&gt;0,'Price evolution'!$F$33,0)</f>
        <v>151000</v>
      </c>
      <c r="R137" s="106">
        <f>IF(R99&lt;&gt;0,'Price evolution'!$F$33,0)</f>
        <v>151000</v>
      </c>
      <c r="S137" s="106">
        <f>IF(S99&lt;&gt;0,'Price evolution'!$F$33,0)</f>
        <v>151000</v>
      </c>
      <c r="T137" s="106">
        <f>IF(T99&lt;&gt;0,'Price evolution'!$F$33,0)</f>
        <v>151000</v>
      </c>
      <c r="U137" s="106">
        <f>IF(U99&lt;&gt;0,'Price evolution'!$F$33,0)</f>
        <v>151000</v>
      </c>
    </row>
    <row r="138" spans="1:22" s="40" customFormat="1" ht="18" customHeight="1" x14ac:dyDescent="0.2">
      <c r="A138" s="38"/>
      <c r="B138" s="39"/>
      <c r="C138" s="519"/>
      <c r="D138" s="305" t="s">
        <v>281</v>
      </c>
      <c r="E138" s="306" t="s">
        <v>14</v>
      </c>
      <c r="F138" s="307">
        <f t="shared" ref="F138:U138" si="95">F139*F93+F140</f>
        <v>0</v>
      </c>
      <c r="G138" s="307">
        <f t="shared" si="95"/>
        <v>0</v>
      </c>
      <c r="H138" s="307">
        <f t="shared" si="95"/>
        <v>0</v>
      </c>
      <c r="I138" s="307">
        <f t="shared" si="95"/>
        <v>0</v>
      </c>
      <c r="J138" s="307">
        <f t="shared" si="95"/>
        <v>0</v>
      </c>
      <c r="K138" s="307">
        <f t="shared" si="95"/>
        <v>0</v>
      </c>
      <c r="L138" s="307">
        <f t="shared" si="95"/>
        <v>0</v>
      </c>
      <c r="M138" s="307">
        <f t="shared" si="95"/>
        <v>0</v>
      </c>
      <c r="N138" s="307">
        <f t="shared" si="95"/>
        <v>0</v>
      </c>
      <c r="O138" s="307">
        <f t="shared" si="95"/>
        <v>0</v>
      </c>
      <c r="P138" s="307">
        <f t="shared" si="95"/>
        <v>0</v>
      </c>
      <c r="Q138" s="307">
        <f t="shared" si="95"/>
        <v>0</v>
      </c>
      <c r="R138" s="307">
        <f t="shared" si="95"/>
        <v>0</v>
      </c>
      <c r="S138" s="307">
        <f t="shared" si="95"/>
        <v>0</v>
      </c>
      <c r="T138" s="307">
        <f t="shared" si="95"/>
        <v>0</v>
      </c>
      <c r="U138" s="307">
        <f t="shared" si="95"/>
        <v>0</v>
      </c>
    </row>
    <row r="139" spans="1:22" s="29" customFormat="1" ht="12.75" x14ac:dyDescent="0.2">
      <c r="A139" s="23"/>
      <c r="B139" s="24"/>
      <c r="C139" s="519"/>
      <c r="D139" s="265" t="s">
        <v>145</v>
      </c>
      <c r="F139" s="93">
        <f t="shared" ref="F139:U139" si="96">$E$17*(1+$E$18)^(F45-$F$45)*F115/365</f>
        <v>62904.109589041094</v>
      </c>
      <c r="G139" s="93">
        <f t="shared" si="96"/>
        <v>65055.991232876717</v>
      </c>
      <c r="H139" s="93">
        <f t="shared" si="96"/>
        <v>67271.522893150686</v>
      </c>
      <c r="I139" s="93">
        <f t="shared" si="96"/>
        <v>69552.444545753431</v>
      </c>
      <c r="J139" s="93">
        <f t="shared" si="96"/>
        <v>71900.541400162183</v>
      </c>
      <c r="K139" s="93">
        <f t="shared" si="96"/>
        <v>74317.645034685367</v>
      </c>
      <c r="L139" s="93">
        <f t="shared" si="96"/>
        <v>76892.913689642111</v>
      </c>
      <c r="M139" s="93">
        <f t="shared" si="96"/>
        <v>79544.789353509346</v>
      </c>
      <c r="N139" s="93">
        <f t="shared" si="96"/>
        <v>82275.372665596122</v>
      </c>
      <c r="O139" s="93">
        <f t="shared" si="96"/>
        <v>85086.818977308387</v>
      </c>
      <c r="P139" s="93">
        <f t="shared" si="96"/>
        <v>87981.339726964055</v>
      </c>
      <c r="Q139" s="93">
        <f t="shared" si="96"/>
        <v>90327.430414471048</v>
      </c>
      <c r="R139" s="93">
        <f t="shared" si="96"/>
        <v>92733.284076804746</v>
      </c>
      <c r="S139" s="93">
        <f t="shared" si="96"/>
        <v>95200.375034347438</v>
      </c>
      <c r="T139" s="93">
        <f t="shared" si="96"/>
        <v>97730.213119860273</v>
      </c>
      <c r="U139" s="93">
        <f t="shared" si="96"/>
        <v>100324.34451814494</v>
      </c>
      <c r="V139" s="561"/>
    </row>
    <row r="140" spans="1:22" s="165" customFormat="1" ht="13.15" customHeight="1" x14ac:dyDescent="0.2">
      <c r="A140" s="168"/>
      <c r="B140" s="169"/>
      <c r="C140" s="519"/>
      <c r="D140" s="96" t="s">
        <v>179</v>
      </c>
      <c r="E140" s="164"/>
      <c r="F140" s="311">
        <f t="shared" ref="F140:U140" si="97">F141*F94+F142*F95</f>
        <v>0</v>
      </c>
      <c r="G140" s="311">
        <f t="shared" si="97"/>
        <v>0</v>
      </c>
      <c r="H140" s="311">
        <f t="shared" si="97"/>
        <v>0</v>
      </c>
      <c r="I140" s="311">
        <f t="shared" si="97"/>
        <v>0</v>
      </c>
      <c r="J140" s="311">
        <f t="shared" si="97"/>
        <v>0</v>
      </c>
      <c r="K140" s="311">
        <f t="shared" si="97"/>
        <v>0</v>
      </c>
      <c r="L140" s="311">
        <f t="shared" si="97"/>
        <v>0</v>
      </c>
      <c r="M140" s="311">
        <f t="shared" si="97"/>
        <v>0</v>
      </c>
      <c r="N140" s="311">
        <f t="shared" si="97"/>
        <v>0</v>
      </c>
      <c r="O140" s="311">
        <f t="shared" si="97"/>
        <v>0</v>
      </c>
      <c r="P140" s="311">
        <f t="shared" si="97"/>
        <v>0</v>
      </c>
      <c r="Q140" s="311">
        <f t="shared" si="97"/>
        <v>0</v>
      </c>
      <c r="R140" s="311">
        <f t="shared" si="97"/>
        <v>0</v>
      </c>
      <c r="S140" s="311">
        <f t="shared" si="97"/>
        <v>0</v>
      </c>
      <c r="T140" s="311">
        <f t="shared" si="97"/>
        <v>0</v>
      </c>
      <c r="U140" s="311">
        <f t="shared" si="97"/>
        <v>0</v>
      </c>
      <c r="V140" s="562"/>
    </row>
    <row r="141" spans="1:22" s="165" customFormat="1" ht="13.15" customHeight="1" x14ac:dyDescent="0.2">
      <c r="A141" s="168"/>
      <c r="B141" s="169"/>
      <c r="C141" s="519"/>
      <c r="D141" s="211" t="s">
        <v>180</v>
      </c>
      <c r="E141" s="164"/>
      <c r="F141" s="268">
        <f t="shared" ref="F141:U141" si="98">$E$19*(1+$E$21)^(F45-$F$45)*F115/365</f>
        <v>2752.0547945205481</v>
      </c>
      <c r="G141" s="268">
        <f t="shared" si="98"/>
        <v>2846.1996164383563</v>
      </c>
      <c r="H141" s="268">
        <f t="shared" si="98"/>
        <v>2943.1291265753425</v>
      </c>
      <c r="I141" s="268">
        <f t="shared" si="98"/>
        <v>3042.9194488767125</v>
      </c>
      <c r="J141" s="268">
        <f t="shared" si="98"/>
        <v>3145.6486862570955</v>
      </c>
      <c r="K141" s="268">
        <f t="shared" si="98"/>
        <v>3251.3969702674854</v>
      </c>
      <c r="L141" s="268">
        <f t="shared" si="98"/>
        <v>3364.0649739218425</v>
      </c>
      <c r="M141" s="268">
        <f t="shared" si="98"/>
        <v>3480.0845342160342</v>
      </c>
      <c r="N141" s="268">
        <f t="shared" si="98"/>
        <v>3599.5475541198293</v>
      </c>
      <c r="O141" s="268">
        <f t="shared" si="98"/>
        <v>3722.5483302572416</v>
      </c>
      <c r="P141" s="268">
        <f t="shared" si="98"/>
        <v>3849.1836130546776</v>
      </c>
      <c r="Q141" s="268">
        <f t="shared" si="98"/>
        <v>3951.8250806331084</v>
      </c>
      <c r="R141" s="268">
        <f t="shared" si="98"/>
        <v>4057.0811783602066</v>
      </c>
      <c r="S141" s="268">
        <f t="shared" si="98"/>
        <v>4165.0164077527006</v>
      </c>
      <c r="T141" s="268">
        <f t="shared" si="98"/>
        <v>4275.6968239938878</v>
      </c>
      <c r="U141" s="268">
        <f t="shared" si="98"/>
        <v>4389.1900726688409</v>
      </c>
    </row>
    <row r="142" spans="1:22" s="165" customFormat="1" ht="13.15" customHeight="1" x14ac:dyDescent="0.2">
      <c r="A142" s="168"/>
      <c r="B142" s="169"/>
      <c r="C142" s="519"/>
      <c r="D142" s="211" t="s">
        <v>181</v>
      </c>
      <c r="F142" s="268">
        <f t="shared" ref="F142:U142" si="99">$E$20*(1+$E$21)^(F45-$F$45)*F115/365</f>
        <v>3145.205479452055</v>
      </c>
      <c r="G142" s="268">
        <f t="shared" si="99"/>
        <v>3252.7995616438352</v>
      </c>
      <c r="H142" s="268">
        <f t="shared" si="99"/>
        <v>3363.5761446575339</v>
      </c>
      <c r="I142" s="268">
        <f t="shared" si="99"/>
        <v>3477.6222272876712</v>
      </c>
      <c r="J142" s="268">
        <f t="shared" si="99"/>
        <v>3595.0270700081091</v>
      </c>
      <c r="K142" s="268">
        <f t="shared" si="99"/>
        <v>3715.8822517342687</v>
      </c>
      <c r="L142" s="268">
        <f t="shared" si="99"/>
        <v>3844.6456844821064</v>
      </c>
      <c r="M142" s="268">
        <f t="shared" si="99"/>
        <v>3977.239467675467</v>
      </c>
      <c r="N142" s="268">
        <f t="shared" si="99"/>
        <v>4113.7686332798057</v>
      </c>
      <c r="O142" s="268">
        <f t="shared" si="99"/>
        <v>4254.3409488654188</v>
      </c>
      <c r="P142" s="268">
        <f t="shared" si="99"/>
        <v>4399.0669863482035</v>
      </c>
      <c r="Q142" s="268">
        <f t="shared" si="99"/>
        <v>4516.3715207235527</v>
      </c>
      <c r="R142" s="268">
        <f t="shared" si="99"/>
        <v>4636.664203840236</v>
      </c>
      <c r="S142" s="268">
        <f t="shared" si="99"/>
        <v>4760.0187517173727</v>
      </c>
      <c r="T142" s="268">
        <f t="shared" si="99"/>
        <v>4886.5106559930136</v>
      </c>
      <c r="U142" s="268">
        <f t="shared" si="99"/>
        <v>5016.2172259072468</v>
      </c>
    </row>
    <row r="143" spans="1:22" s="40" customFormat="1" ht="18" customHeight="1" x14ac:dyDescent="0.2">
      <c r="A143" s="38"/>
      <c r="B143" s="39"/>
      <c r="C143" s="519"/>
      <c r="D143" s="305" t="s">
        <v>282</v>
      </c>
      <c r="E143" s="306" t="s">
        <v>15</v>
      </c>
      <c r="F143" s="307">
        <f>F144+F145+F146</f>
        <v>121932.56937480901</v>
      </c>
      <c r="G143" s="307">
        <f t="shared" ref="G143:U143" si="100">G144+G145+G146</f>
        <v>121932.56937480901</v>
      </c>
      <c r="H143" s="307">
        <f t="shared" si="100"/>
        <v>121932.56937480901</v>
      </c>
      <c r="I143" s="307">
        <f t="shared" si="100"/>
        <v>121932.56937480901</v>
      </c>
      <c r="J143" s="307">
        <f t="shared" si="100"/>
        <v>121932.56937480901</v>
      </c>
      <c r="K143" s="307">
        <f t="shared" si="100"/>
        <v>121932.56937480901</v>
      </c>
      <c r="L143" s="307">
        <f t="shared" si="100"/>
        <v>121932.56937480901</v>
      </c>
      <c r="M143" s="307">
        <f t="shared" si="100"/>
        <v>121932.56937480901</v>
      </c>
      <c r="N143" s="307">
        <f t="shared" si="100"/>
        <v>121932.56937480901</v>
      </c>
      <c r="O143" s="307">
        <f t="shared" si="100"/>
        <v>121932.56937480901</v>
      </c>
      <c r="P143" s="307">
        <f t="shared" si="100"/>
        <v>121932.56937480901</v>
      </c>
      <c r="Q143" s="307">
        <f t="shared" si="100"/>
        <v>121932.56937480901</v>
      </c>
      <c r="R143" s="307">
        <f t="shared" si="100"/>
        <v>121932.56937480901</v>
      </c>
      <c r="S143" s="307">
        <f t="shared" si="100"/>
        <v>121932.56937480901</v>
      </c>
      <c r="T143" s="307">
        <f t="shared" si="100"/>
        <v>121932.56937480901</v>
      </c>
      <c r="U143" s="307">
        <f t="shared" si="100"/>
        <v>121932.56937480901</v>
      </c>
    </row>
    <row r="144" spans="1:22" s="29" customFormat="1" ht="13.15" customHeight="1" x14ac:dyDescent="0.2">
      <c r="A144" s="23"/>
      <c r="B144" s="24"/>
      <c r="C144" s="519"/>
      <c r="D144" s="29" t="s">
        <v>74</v>
      </c>
      <c r="E144" s="58"/>
      <c r="F144" s="192">
        <f>((F96*$E$23*(1+$E$23)^$E$9))/((1+$E$23)^$E$9-1)-(F96/$E$9)</f>
        <v>0</v>
      </c>
      <c r="G144" s="192">
        <f t="shared" ref="G144:Q144" si="101">((G96*$E$23*(1+$E$23)^$E$9))/((1+$E$23)^$E$9-1)-(G96/$E$9)+F144</f>
        <v>0</v>
      </c>
      <c r="H144" s="192">
        <f t="shared" si="101"/>
        <v>0</v>
      </c>
      <c r="I144" s="192">
        <f t="shared" si="101"/>
        <v>0</v>
      </c>
      <c r="J144" s="192">
        <f t="shared" si="101"/>
        <v>0</v>
      </c>
      <c r="K144" s="192">
        <f t="shared" si="101"/>
        <v>0</v>
      </c>
      <c r="L144" s="192">
        <f t="shared" si="101"/>
        <v>0</v>
      </c>
      <c r="M144" s="192">
        <f t="shared" si="101"/>
        <v>0</v>
      </c>
      <c r="N144" s="192">
        <f t="shared" si="101"/>
        <v>0</v>
      </c>
      <c r="O144" s="192">
        <f t="shared" si="101"/>
        <v>0</v>
      </c>
      <c r="P144" s="192">
        <f t="shared" si="101"/>
        <v>0</v>
      </c>
      <c r="Q144" s="192">
        <f t="shared" si="101"/>
        <v>0</v>
      </c>
      <c r="R144" s="192">
        <f>((R96*$E$23*(1+$E$23)^$E$9))/((1+$E$23)^$E$9-1)-(R96/$E$9)+Q144-F144</f>
        <v>0</v>
      </c>
      <c r="S144" s="192">
        <f>((S96*$E$23*(1+$E$23)^$E$9))/((1+$E$23)^$E$9-1)-(S96/$E$9)+R144-(G144-F144)</f>
        <v>0</v>
      </c>
      <c r="T144" s="192">
        <f>((T96*$E$23*(1+$E$23)^$E$9))/((1+$E$23)^$E$9-1)-(T96/$E$9)+S144-(H144-G144)</f>
        <v>0</v>
      </c>
      <c r="U144" s="192">
        <f>((U96*$E$23*(1+$E$23)^$E$9))/((1+$E$23)^$E$9-1)-(U96/$E$9)+T144-(I144-H144)</f>
        <v>0</v>
      </c>
    </row>
    <row r="145" spans="1:21" s="29" customFormat="1" ht="12.75" x14ac:dyDescent="0.2">
      <c r="A145" s="23"/>
      <c r="B145" s="24"/>
      <c r="C145" s="519"/>
      <c r="D145" s="29" t="s">
        <v>75</v>
      </c>
      <c r="E145" s="20"/>
      <c r="F145" s="192">
        <f>IF(F99&gt;0,('Price evolution'!$F$32*$E$23*(1+$E$23)^$E$10)/((1+$E$23)^$E$10-1)-F99,0)</f>
        <v>110834.33793899509</v>
      </c>
      <c r="G145" s="192">
        <f>IF(G99&gt;0,('Price evolution'!$F$32*$E$23*(1+$E$23)^$E$10)/((1+$E$23)^$E$10-1)-G99,0)</f>
        <v>110834.33793899509</v>
      </c>
      <c r="H145" s="192">
        <f>IF(H99&gt;0,('Price evolution'!$F$32*$E$23*(1+$E$23)^$E$10)/((1+$E$23)^$E$10-1)-H99,0)</f>
        <v>110834.33793899509</v>
      </c>
      <c r="I145" s="192">
        <f>IF(I99&gt;0,('Price evolution'!$F$32*$E$23*(1+$E$23)^$E$10)/((1+$E$23)^$E$10-1)-I99,0)</f>
        <v>110834.33793899509</v>
      </c>
      <c r="J145" s="192">
        <f>IF(J99&gt;0,('Price evolution'!$F$32*$E$23*(1+$E$23)^$E$10)/((1+$E$23)^$E$10-1)-J99,0)</f>
        <v>110834.33793899509</v>
      </c>
      <c r="K145" s="192">
        <f>IF(K99&gt;0,('Price evolution'!$F$32*$E$23*(1+$E$23)^$E$10)/((1+$E$23)^$E$10-1)-K99,0)</f>
        <v>110834.33793899509</v>
      </c>
      <c r="L145" s="192">
        <f>IF(L99&gt;0,('Price evolution'!$F$32*$E$23*(1+$E$23)^$E$10)/((1+$E$23)^$E$10-1)-L99,0)</f>
        <v>110834.33793899509</v>
      </c>
      <c r="M145" s="192">
        <f>IF(M99&gt;0,('Price evolution'!$F$32*$E$23*(1+$E$23)^$E$10)/((1+$E$23)^$E$10-1)-M99,0)</f>
        <v>110834.33793899509</v>
      </c>
      <c r="N145" s="192">
        <f>IF(N99&gt;0,('Price evolution'!$F$32*$E$23*(1+$E$23)^$E$10)/((1+$E$23)^$E$10-1)-N99,0)</f>
        <v>110834.33793899509</v>
      </c>
      <c r="O145" s="192">
        <f>IF(O99&gt;0,('Price evolution'!$F$32*$E$23*(1+$E$23)^$E$10)/((1+$E$23)^$E$10-1)-O99,0)</f>
        <v>110834.33793899509</v>
      </c>
      <c r="P145" s="192">
        <f>IF(P99&gt;0,('Price evolution'!$F$32*$E$23*(1+$E$23)^$E$10)/((1+$E$23)^$E$10-1)-P99,0)</f>
        <v>110834.33793899509</v>
      </c>
      <c r="Q145" s="192">
        <f>IF(Q99&gt;0,('Price evolution'!$F$32*$E$23*(1+$E$23)^$E$10)/((1+$E$23)^$E$10-1)-Q99,0)</f>
        <v>110834.33793899509</v>
      </c>
      <c r="R145" s="192">
        <f>IF(R99&gt;0,('Price evolution'!$F$32*$E$23*(1+$E$23)^$E$10)/((1+$E$23)^$E$10-1)-R99,0)</f>
        <v>110834.33793899509</v>
      </c>
      <c r="S145" s="192">
        <f>IF(S99&gt;0,('Price evolution'!$F$32*$E$23*(1+$E$23)^$E$10)/((1+$E$23)^$E$10-1)-S99,0)</f>
        <v>110834.33793899509</v>
      </c>
      <c r="T145" s="192">
        <f>IF(T99&gt;0,('Price evolution'!$F$32*$E$23*(1+$E$23)^$E$10)/((1+$E$23)^$E$10-1)-T99,0)</f>
        <v>110834.33793899509</v>
      </c>
      <c r="U145" s="192">
        <f>IF(U99&gt;0,('Price evolution'!$F$32*$E$23*(1+$E$23)^$E$10)/((1+$E$23)^$E$10-1)-U99,0)</f>
        <v>110834.33793899509</v>
      </c>
    </row>
    <row r="146" spans="1:21" s="29" customFormat="1" ht="12.75" x14ac:dyDescent="0.2">
      <c r="A146" s="23"/>
      <c r="B146" s="24"/>
      <c r="C146" s="519"/>
      <c r="D146" s="29" t="s">
        <v>230</v>
      </c>
      <c r="E146" s="20"/>
      <c r="F146" s="192">
        <f t="shared" ref="F146:U146" si="102">IF(F102&gt;0,($E$44*$E$23*(1+$E$23)^$E$10)/((1+$E$23)^$E$10-1)-F102,0)</f>
        <v>11098.231435813923</v>
      </c>
      <c r="G146" s="192">
        <f t="shared" si="102"/>
        <v>11098.231435813923</v>
      </c>
      <c r="H146" s="192">
        <f t="shared" si="102"/>
        <v>11098.231435813923</v>
      </c>
      <c r="I146" s="192">
        <f t="shared" si="102"/>
        <v>11098.231435813923</v>
      </c>
      <c r="J146" s="192">
        <f t="shared" si="102"/>
        <v>11098.231435813923</v>
      </c>
      <c r="K146" s="192">
        <f t="shared" si="102"/>
        <v>11098.231435813923</v>
      </c>
      <c r="L146" s="192">
        <f t="shared" si="102"/>
        <v>11098.231435813923</v>
      </c>
      <c r="M146" s="192">
        <f t="shared" si="102"/>
        <v>11098.231435813923</v>
      </c>
      <c r="N146" s="192">
        <f t="shared" si="102"/>
        <v>11098.231435813923</v>
      </c>
      <c r="O146" s="192">
        <f t="shared" si="102"/>
        <v>11098.231435813923</v>
      </c>
      <c r="P146" s="192">
        <f t="shared" si="102"/>
        <v>11098.231435813923</v>
      </c>
      <c r="Q146" s="192">
        <f t="shared" si="102"/>
        <v>11098.231435813923</v>
      </c>
      <c r="R146" s="192">
        <f t="shared" si="102"/>
        <v>11098.231435813923</v>
      </c>
      <c r="S146" s="192">
        <f t="shared" si="102"/>
        <v>11098.231435813923</v>
      </c>
      <c r="T146" s="192">
        <f t="shared" si="102"/>
        <v>11098.231435813923</v>
      </c>
      <c r="U146" s="192">
        <f t="shared" si="102"/>
        <v>11098.231435813923</v>
      </c>
    </row>
    <row r="147" spans="1:21" s="40" customFormat="1" ht="18" customHeight="1" x14ac:dyDescent="0.2">
      <c r="A147" s="38"/>
      <c r="B147" s="39"/>
      <c r="C147" s="519"/>
      <c r="D147" s="305" t="s">
        <v>283</v>
      </c>
      <c r="E147" s="306" t="s">
        <v>16</v>
      </c>
      <c r="F147" s="307">
        <f>F148*F150*F151+F149*F150*F152+F153*F151+F154*F152</f>
        <v>0</v>
      </c>
      <c r="G147" s="307">
        <f t="shared" ref="G147:U147" si="103">G148*G150*G151+G149*G150*G152+G153*G151+G154*G152</f>
        <v>0</v>
      </c>
      <c r="H147" s="307">
        <f t="shared" si="103"/>
        <v>0</v>
      </c>
      <c r="I147" s="307">
        <f t="shared" si="103"/>
        <v>0</v>
      </c>
      <c r="J147" s="307">
        <f t="shared" si="103"/>
        <v>0</v>
      </c>
      <c r="K147" s="307">
        <f t="shared" si="103"/>
        <v>0</v>
      </c>
      <c r="L147" s="307">
        <f t="shared" si="103"/>
        <v>0</v>
      </c>
      <c r="M147" s="307">
        <f t="shared" si="103"/>
        <v>0</v>
      </c>
      <c r="N147" s="307">
        <f t="shared" si="103"/>
        <v>0</v>
      </c>
      <c r="O147" s="307">
        <f t="shared" si="103"/>
        <v>0</v>
      </c>
      <c r="P147" s="307">
        <f t="shared" si="103"/>
        <v>0</v>
      </c>
      <c r="Q147" s="307">
        <f t="shared" si="103"/>
        <v>0</v>
      </c>
      <c r="R147" s="307">
        <f t="shared" si="103"/>
        <v>0</v>
      </c>
      <c r="S147" s="307">
        <f t="shared" si="103"/>
        <v>0</v>
      </c>
      <c r="T147" s="307">
        <f t="shared" si="103"/>
        <v>0</v>
      </c>
      <c r="U147" s="307">
        <f t="shared" si="103"/>
        <v>0</v>
      </c>
    </row>
    <row r="148" spans="1:21" s="29" customFormat="1" ht="13.15" customHeight="1" x14ac:dyDescent="0.2">
      <c r="A148" s="23"/>
      <c r="B148" s="24"/>
      <c r="C148" s="519"/>
      <c r="D148" s="29" t="s">
        <v>339</v>
      </c>
      <c r="E148" s="58"/>
      <c r="F148" s="550">
        <f>(F200-F206+F223)/$E$192</f>
        <v>1.1122347936389922</v>
      </c>
      <c r="G148" s="550">
        <f t="shared" ref="G148:U148" si="104">(G200-G206+G223)/$E$192</f>
        <v>1.1256567642962627</v>
      </c>
      <c r="H148" s="550">
        <f t="shared" si="104"/>
        <v>1.1393195351363523</v>
      </c>
      <c r="I148" s="550">
        <f t="shared" si="104"/>
        <v>1.1532281205354835</v>
      </c>
      <c r="J148" s="550">
        <f t="shared" si="104"/>
        <v>1.167387644880427</v>
      </c>
      <c r="K148" s="550">
        <f t="shared" si="104"/>
        <v>1.1818033450315617</v>
      </c>
      <c r="L148" s="550">
        <f t="shared" si="104"/>
        <v>1.1964805728415604</v>
      </c>
      <c r="M148" s="550">
        <f t="shared" si="104"/>
        <v>1.2114247977309598</v>
      </c>
      <c r="N148" s="550">
        <f t="shared" si="104"/>
        <v>1.2266416093219077</v>
      </c>
      <c r="O148" s="550">
        <f t="shared" si="104"/>
        <v>1.2421367201313989</v>
      </c>
      <c r="P148" s="550">
        <f t="shared" si="104"/>
        <v>1.2579159683253529</v>
      </c>
      <c r="Q148" s="550">
        <f t="shared" si="104"/>
        <v>1.2739853205349181</v>
      </c>
      <c r="R148" s="550">
        <f t="shared" si="104"/>
        <v>1.2903508747364005</v>
      </c>
      <c r="S148" s="550">
        <f t="shared" si="104"/>
        <v>1.3070188631962756</v>
      </c>
      <c r="T148" s="550">
        <f t="shared" si="104"/>
        <v>1.3239956554827408</v>
      </c>
      <c r="U148" s="550">
        <f t="shared" si="104"/>
        <v>1.3412877615453362</v>
      </c>
    </row>
    <row r="149" spans="1:21" s="29" customFormat="1" ht="13.15" customHeight="1" x14ac:dyDescent="0.2">
      <c r="A149" s="23"/>
      <c r="B149" s="24"/>
      <c r="C149" s="519"/>
      <c r="D149" s="29" t="s">
        <v>340</v>
      </c>
      <c r="E149" s="504"/>
      <c r="F149" s="550">
        <f>(F212-F218+F223)/$E$192</f>
        <v>1.5277550769218311</v>
      </c>
      <c r="G149" s="550">
        <f t="shared" ref="G149:U149" si="105">(G212-G218+G223)/$E$192</f>
        <v>1.5487781299323482</v>
      </c>
      <c r="H149" s="550">
        <f t="shared" si="105"/>
        <v>1.5701511877887857</v>
      </c>
      <c r="I149" s="550">
        <f t="shared" si="105"/>
        <v>1.591881000068065</v>
      </c>
      <c r="J149" s="550">
        <f t="shared" si="105"/>
        <v>1.6139744583616988</v>
      </c>
      <c r="K149" s="550">
        <f t="shared" si="105"/>
        <v>1.6364385993959296</v>
      </c>
      <c r="L149" s="550">
        <f t="shared" si="105"/>
        <v>1.6592806082217766</v>
      </c>
      <c r="M149" s="550">
        <f t="shared" si="105"/>
        <v>1.6825078214765647</v>
      </c>
      <c r="N149" s="550">
        <f t="shared" si="105"/>
        <v>1.7061277307185618</v>
      </c>
      <c r="O149" s="550">
        <f t="shared" si="105"/>
        <v>1.7301479858363573</v>
      </c>
      <c r="P149" s="550">
        <f t="shared" si="105"/>
        <v>1.7545763985346938</v>
      </c>
      <c r="Q149" s="550">
        <f t="shared" si="105"/>
        <v>1.7794209458984656</v>
      </c>
      <c r="R149" s="550">
        <f t="shared" si="105"/>
        <v>1.8046897740366501</v>
      </c>
      <c r="S149" s="550">
        <f t="shared" si="105"/>
        <v>1.8303912018079889</v>
      </c>
      <c r="T149" s="550">
        <f t="shared" si="105"/>
        <v>1.856533724630262</v>
      </c>
      <c r="U149" s="550">
        <f t="shared" si="105"/>
        <v>1.8831260183750378</v>
      </c>
    </row>
    <row r="150" spans="1:21" s="29" customFormat="1" ht="12.75" x14ac:dyDescent="0.2">
      <c r="A150" s="23"/>
      <c r="B150" s="24"/>
      <c r="C150" s="519"/>
      <c r="D150" s="29" t="s">
        <v>338</v>
      </c>
      <c r="E150" s="20"/>
      <c r="F150" s="91">
        <f t="shared" ref="F150:U150" si="106">$E$192-F114</f>
        <v>12682.539682539682</v>
      </c>
      <c r="G150" s="91">
        <f t="shared" si="106"/>
        <v>11911.950113378683</v>
      </c>
      <c r="H150" s="91">
        <f t="shared" si="106"/>
        <v>11139.047619047626</v>
      </c>
      <c r="I150" s="91">
        <f t="shared" si="106"/>
        <v>10363.832199546479</v>
      </c>
      <c r="J150" s="91">
        <f t="shared" si="106"/>
        <v>9586.3038548752884</v>
      </c>
      <c r="K150" s="91">
        <f t="shared" si="106"/>
        <v>8806.462585034009</v>
      </c>
      <c r="L150" s="91">
        <f t="shared" si="106"/>
        <v>7956.1541950113315</v>
      </c>
      <c r="M150" s="91">
        <f t="shared" si="106"/>
        <v>7103.3015873015902</v>
      </c>
      <c r="N150" s="91">
        <f t="shared" si="106"/>
        <v>6247.904761904756</v>
      </c>
      <c r="O150" s="91">
        <f t="shared" si="106"/>
        <v>5389.963718820858</v>
      </c>
      <c r="P150" s="91">
        <f t="shared" si="106"/>
        <v>4529.4784580498817</v>
      </c>
      <c r="Q150" s="91">
        <f t="shared" si="106"/>
        <v>4114.6938775510207</v>
      </c>
      <c r="R150" s="91">
        <f t="shared" si="106"/>
        <v>3699.138321995466</v>
      </c>
      <c r="S150" s="91">
        <f t="shared" si="106"/>
        <v>3282.8117913832175</v>
      </c>
      <c r="T150" s="91">
        <f t="shared" si="106"/>
        <v>2865.7142857142826</v>
      </c>
      <c r="U150" s="91">
        <f t="shared" si="106"/>
        <v>2447.8458049886685</v>
      </c>
    </row>
    <row r="151" spans="1:21" s="29" customFormat="1" ht="12.75" x14ac:dyDescent="0.2">
      <c r="A151" s="23"/>
      <c r="B151" s="24"/>
      <c r="C151" s="519"/>
      <c r="D151" s="29" t="s">
        <v>341</v>
      </c>
      <c r="E151" s="20"/>
      <c r="F151" s="77">
        <f t="shared" ref="F151:U151" si="107">F94</f>
        <v>0</v>
      </c>
      <c r="G151" s="77">
        <f t="shared" si="107"/>
        <v>0</v>
      </c>
      <c r="H151" s="77">
        <f t="shared" si="107"/>
        <v>0</v>
      </c>
      <c r="I151" s="77">
        <f t="shared" si="107"/>
        <v>0</v>
      </c>
      <c r="J151" s="77">
        <f t="shared" si="107"/>
        <v>0</v>
      </c>
      <c r="K151" s="77">
        <f t="shared" si="107"/>
        <v>0</v>
      </c>
      <c r="L151" s="77">
        <f t="shared" si="107"/>
        <v>0</v>
      </c>
      <c r="M151" s="77">
        <f t="shared" si="107"/>
        <v>0</v>
      </c>
      <c r="N151" s="77">
        <f t="shared" si="107"/>
        <v>0</v>
      </c>
      <c r="O151" s="77">
        <f t="shared" si="107"/>
        <v>0</v>
      </c>
      <c r="P151" s="77">
        <f t="shared" si="107"/>
        <v>0</v>
      </c>
      <c r="Q151" s="77">
        <f t="shared" si="107"/>
        <v>0</v>
      </c>
      <c r="R151" s="77">
        <f t="shared" si="107"/>
        <v>0</v>
      </c>
      <c r="S151" s="77">
        <f t="shared" si="107"/>
        <v>0</v>
      </c>
      <c r="T151" s="77">
        <f t="shared" si="107"/>
        <v>0</v>
      </c>
      <c r="U151" s="77">
        <f t="shared" si="107"/>
        <v>0</v>
      </c>
    </row>
    <row r="152" spans="1:21" s="29" customFormat="1" ht="12.75" x14ac:dyDescent="0.2">
      <c r="A152" s="23"/>
      <c r="B152" s="24"/>
      <c r="C152" s="519"/>
      <c r="D152" s="29" t="s">
        <v>342</v>
      </c>
      <c r="E152" s="20"/>
      <c r="F152" s="77">
        <f t="shared" ref="F152:U152" si="108">F95</f>
        <v>0</v>
      </c>
      <c r="G152" s="77">
        <f t="shared" si="108"/>
        <v>0</v>
      </c>
      <c r="H152" s="77">
        <f t="shared" si="108"/>
        <v>0</v>
      </c>
      <c r="I152" s="77">
        <f t="shared" si="108"/>
        <v>0</v>
      </c>
      <c r="J152" s="77">
        <f t="shared" si="108"/>
        <v>0</v>
      </c>
      <c r="K152" s="77">
        <f t="shared" si="108"/>
        <v>0</v>
      </c>
      <c r="L152" s="77">
        <f t="shared" si="108"/>
        <v>0</v>
      </c>
      <c r="M152" s="77">
        <f t="shared" si="108"/>
        <v>0</v>
      </c>
      <c r="N152" s="77">
        <f t="shared" si="108"/>
        <v>0</v>
      </c>
      <c r="O152" s="77">
        <f t="shared" si="108"/>
        <v>0</v>
      </c>
      <c r="P152" s="77">
        <f t="shared" si="108"/>
        <v>0</v>
      </c>
      <c r="Q152" s="77">
        <f t="shared" si="108"/>
        <v>0</v>
      </c>
      <c r="R152" s="77">
        <f t="shared" si="108"/>
        <v>0</v>
      </c>
      <c r="S152" s="77">
        <f t="shared" si="108"/>
        <v>0</v>
      </c>
      <c r="T152" s="77">
        <f t="shared" si="108"/>
        <v>0</v>
      </c>
      <c r="U152" s="77">
        <f t="shared" si="108"/>
        <v>0</v>
      </c>
    </row>
    <row r="153" spans="1:21" s="29" customFormat="1" ht="12.75" x14ac:dyDescent="0.2">
      <c r="A153" s="23"/>
      <c r="B153" s="24"/>
      <c r="C153" s="519"/>
      <c r="D153" s="29" t="s">
        <v>343</v>
      </c>
      <c r="E153" s="20"/>
      <c r="F153" s="192">
        <f t="shared" ref="F153:U153" si="109">$E$17*(1+$E$18)^(F45-$F$45)*(365-F115)/365+$E$19*(1+$E$21)^(F45-$F$45)*(365-F115)/365</f>
        <v>17843.835616438359</v>
      </c>
      <c r="G153" s="192">
        <f t="shared" si="109"/>
        <v>17267.809150684934</v>
      </c>
      <c r="H153" s="192">
        <f t="shared" si="109"/>
        <v>16658.747980273976</v>
      </c>
      <c r="I153" s="192">
        <f t="shared" si="109"/>
        <v>16015.504005369856</v>
      </c>
      <c r="J153" s="192">
        <f t="shared" si="109"/>
        <v>15336.89527358072</v>
      </c>
      <c r="K153" s="192">
        <f t="shared" si="109"/>
        <v>14621.705062247142</v>
      </c>
      <c r="L153" s="192">
        <f t="shared" si="109"/>
        <v>13777.583344980045</v>
      </c>
      <c r="M153" s="192">
        <f t="shared" si="109"/>
        <v>12890.379360989484</v>
      </c>
      <c r="N153" s="192">
        <f t="shared" si="109"/>
        <v>11958.638093973228</v>
      </c>
      <c r="O153" s="192">
        <f t="shared" si="109"/>
        <v>10980.862172397327</v>
      </c>
      <c r="P153" s="192">
        <f t="shared" si="109"/>
        <v>9955.5107295434791</v>
      </c>
      <c r="Q153" s="192">
        <f t="shared" si="109"/>
        <v>9542.4992558492777</v>
      </c>
      <c r="R153" s="192">
        <f t="shared" si="109"/>
        <v>9107.824590807586</v>
      </c>
      <c r="S153" s="192">
        <f t="shared" si="109"/>
        <v>8650.7622007918217</v>
      </c>
      <c r="T153" s="192">
        <f t="shared" si="109"/>
        <v>8170.5667718956556</v>
      </c>
      <c r="U153" s="192">
        <f t="shared" si="109"/>
        <v>7666.4716592510049</v>
      </c>
    </row>
    <row r="154" spans="1:21" s="29" customFormat="1" ht="12.75" x14ac:dyDescent="0.2">
      <c r="A154" s="23"/>
      <c r="B154" s="24"/>
      <c r="C154" s="519"/>
      <c r="D154" s="29" t="s">
        <v>344</v>
      </c>
      <c r="E154" s="20"/>
      <c r="F154" s="192">
        <f t="shared" ref="F154:U154" si="110">$E$17*(1+$E$18)^(F45-$F$45)*(365-F115)/365+$E$20*(1+$E$21)^(F45-$F$45)*(365-F115)/365</f>
        <v>17950.68493150685</v>
      </c>
      <c r="G154" s="192">
        <f t="shared" si="110"/>
        <v>17371.209205479456</v>
      </c>
      <c r="H154" s="192">
        <f t="shared" si="110"/>
        <v>16758.500962191785</v>
      </c>
      <c r="I154" s="192">
        <f t="shared" si="110"/>
        <v>16111.405226958897</v>
      </c>
      <c r="J154" s="192">
        <f t="shared" si="110"/>
        <v>15428.732969829705</v>
      </c>
      <c r="K154" s="192">
        <f t="shared" si="110"/>
        <v>14709.260182380358</v>
      </c>
      <c r="L154" s="192">
        <f t="shared" si="110"/>
        <v>13860.083844051782</v>
      </c>
      <c r="M154" s="192">
        <f t="shared" si="110"/>
        <v>12967.567261354689</v>
      </c>
      <c r="N154" s="192">
        <f t="shared" si="110"/>
        <v>12030.246705314385</v>
      </c>
      <c r="O154" s="192">
        <f t="shared" si="110"/>
        <v>11046.615838100304</v>
      </c>
      <c r="P154" s="192">
        <f t="shared" si="110"/>
        <v>10015.124566247332</v>
      </c>
      <c r="Q154" s="192">
        <f t="shared" si="110"/>
        <v>9599.6399699561589</v>
      </c>
      <c r="R154" s="192">
        <f t="shared" si="110"/>
        <v>9162.3624626088294</v>
      </c>
      <c r="S154" s="192">
        <f t="shared" si="110"/>
        <v>8702.5631720540496</v>
      </c>
      <c r="T154" s="192">
        <f t="shared" si="110"/>
        <v>8219.4923214279643</v>
      </c>
      <c r="U154" s="192">
        <f t="shared" si="110"/>
        <v>7712.3786751746638</v>
      </c>
    </row>
    <row r="155" spans="1:21" s="40" customFormat="1" ht="18" customHeight="1" x14ac:dyDescent="0.2">
      <c r="A155" s="38"/>
      <c r="B155" s="39"/>
      <c r="C155" s="519"/>
      <c r="D155" s="305" t="s">
        <v>284</v>
      </c>
      <c r="E155" s="306" t="s">
        <v>73</v>
      </c>
      <c r="F155" s="307">
        <f>F156*F157</f>
        <v>0</v>
      </c>
      <c r="G155" s="307">
        <f t="shared" ref="G155:U155" si="111">G156*G157</f>
        <v>0</v>
      </c>
      <c r="H155" s="307">
        <f t="shared" si="111"/>
        <v>0</v>
      </c>
      <c r="I155" s="307">
        <f t="shared" si="111"/>
        <v>0</v>
      </c>
      <c r="J155" s="307">
        <f t="shared" si="111"/>
        <v>0</v>
      </c>
      <c r="K155" s="307">
        <f t="shared" si="111"/>
        <v>0</v>
      </c>
      <c r="L155" s="307">
        <f t="shared" si="111"/>
        <v>0</v>
      </c>
      <c r="M155" s="307">
        <f t="shared" si="111"/>
        <v>0</v>
      </c>
      <c r="N155" s="307">
        <f t="shared" si="111"/>
        <v>0</v>
      </c>
      <c r="O155" s="307">
        <f t="shared" si="111"/>
        <v>0</v>
      </c>
      <c r="P155" s="307">
        <f t="shared" si="111"/>
        <v>0</v>
      </c>
      <c r="Q155" s="307">
        <f t="shared" si="111"/>
        <v>0</v>
      </c>
      <c r="R155" s="307">
        <f t="shared" si="111"/>
        <v>0</v>
      </c>
      <c r="S155" s="307">
        <f t="shared" si="111"/>
        <v>0</v>
      </c>
      <c r="T155" s="307">
        <f t="shared" si="111"/>
        <v>0</v>
      </c>
      <c r="U155" s="307">
        <f t="shared" si="111"/>
        <v>0</v>
      </c>
    </row>
    <row r="156" spans="1:21" s="29" customFormat="1" ht="13.15" customHeight="1" x14ac:dyDescent="0.2">
      <c r="A156" s="23"/>
      <c r="B156" s="24"/>
      <c r="C156" s="519"/>
      <c r="D156" s="29" t="s">
        <v>30</v>
      </c>
      <c r="E156" s="20"/>
      <c r="F156" s="50">
        <f>F96</f>
        <v>0</v>
      </c>
      <c r="G156" s="50">
        <f t="shared" ref="G156:U156" si="112">F156+G96-F87</f>
        <v>0</v>
      </c>
      <c r="H156" s="50">
        <f t="shared" si="112"/>
        <v>0</v>
      </c>
      <c r="I156" s="50">
        <f t="shared" si="112"/>
        <v>0</v>
      </c>
      <c r="J156" s="50">
        <f t="shared" si="112"/>
        <v>0</v>
      </c>
      <c r="K156" s="50">
        <f t="shared" si="112"/>
        <v>0</v>
      </c>
      <c r="L156" s="50">
        <f t="shared" si="112"/>
        <v>0</v>
      </c>
      <c r="M156" s="50">
        <f t="shared" si="112"/>
        <v>0</v>
      </c>
      <c r="N156" s="50">
        <f t="shared" si="112"/>
        <v>0</v>
      </c>
      <c r="O156" s="50">
        <f t="shared" si="112"/>
        <v>0</v>
      </c>
      <c r="P156" s="50">
        <f t="shared" si="112"/>
        <v>0</v>
      </c>
      <c r="Q156" s="50">
        <f t="shared" si="112"/>
        <v>0</v>
      </c>
      <c r="R156" s="50">
        <f t="shared" si="112"/>
        <v>0</v>
      </c>
      <c r="S156" s="50">
        <f t="shared" si="112"/>
        <v>0</v>
      </c>
      <c r="T156" s="50">
        <f t="shared" si="112"/>
        <v>0</v>
      </c>
      <c r="U156" s="50">
        <f t="shared" si="112"/>
        <v>0</v>
      </c>
    </row>
    <row r="157" spans="1:21" s="29" customFormat="1" ht="12.75" x14ac:dyDescent="0.2">
      <c r="A157" s="23"/>
      <c r="B157" s="24"/>
      <c r="C157" s="519"/>
      <c r="D157" s="29" t="s">
        <v>9</v>
      </c>
      <c r="E157" s="20"/>
      <c r="F157" s="80">
        <f t="shared" ref="F157:U157" si="113">$E$25</f>
        <v>0.05</v>
      </c>
      <c r="G157" s="80">
        <f t="shared" si="113"/>
        <v>0.05</v>
      </c>
      <c r="H157" s="80">
        <f t="shared" si="113"/>
        <v>0.05</v>
      </c>
      <c r="I157" s="80">
        <f t="shared" si="113"/>
        <v>0.05</v>
      </c>
      <c r="J157" s="80">
        <f t="shared" si="113"/>
        <v>0.05</v>
      </c>
      <c r="K157" s="80">
        <f t="shared" si="113"/>
        <v>0.05</v>
      </c>
      <c r="L157" s="80">
        <f t="shared" si="113"/>
        <v>0.05</v>
      </c>
      <c r="M157" s="80">
        <f t="shared" si="113"/>
        <v>0.05</v>
      </c>
      <c r="N157" s="80">
        <f t="shared" si="113"/>
        <v>0.05</v>
      </c>
      <c r="O157" s="80">
        <f t="shared" si="113"/>
        <v>0.05</v>
      </c>
      <c r="P157" s="80">
        <f t="shared" si="113"/>
        <v>0.05</v>
      </c>
      <c r="Q157" s="80">
        <f t="shared" si="113"/>
        <v>0.05</v>
      </c>
      <c r="R157" s="80">
        <f t="shared" si="113"/>
        <v>0.05</v>
      </c>
      <c r="S157" s="80">
        <f t="shared" si="113"/>
        <v>0.05</v>
      </c>
      <c r="T157" s="80">
        <f t="shared" si="113"/>
        <v>0.05</v>
      </c>
      <c r="U157" s="80">
        <f t="shared" si="113"/>
        <v>0.05</v>
      </c>
    </row>
    <row r="158" spans="1:21" s="40" customFormat="1" ht="18" customHeight="1" x14ac:dyDescent="0.2">
      <c r="A158" s="38"/>
      <c r="B158" s="39"/>
      <c r="C158" s="519"/>
      <c r="D158" s="305" t="s">
        <v>285</v>
      </c>
      <c r="E158" s="306" t="s">
        <v>146</v>
      </c>
      <c r="F158" s="307">
        <f>F159+F162</f>
        <v>0</v>
      </c>
      <c r="G158" s="307">
        <f t="shared" ref="G158:U158" si="114">G159+G162</f>
        <v>0</v>
      </c>
      <c r="H158" s="307">
        <f t="shared" si="114"/>
        <v>0</v>
      </c>
      <c r="I158" s="307">
        <f t="shared" si="114"/>
        <v>0</v>
      </c>
      <c r="J158" s="307">
        <f t="shared" si="114"/>
        <v>0</v>
      </c>
      <c r="K158" s="307">
        <f t="shared" si="114"/>
        <v>0</v>
      </c>
      <c r="L158" s="307">
        <f t="shared" si="114"/>
        <v>0</v>
      </c>
      <c r="M158" s="307">
        <f t="shared" si="114"/>
        <v>0</v>
      </c>
      <c r="N158" s="307">
        <f t="shared" si="114"/>
        <v>0</v>
      </c>
      <c r="O158" s="307">
        <f t="shared" si="114"/>
        <v>0</v>
      </c>
      <c r="P158" s="307">
        <f t="shared" si="114"/>
        <v>0</v>
      </c>
      <c r="Q158" s="307">
        <f t="shared" si="114"/>
        <v>0</v>
      </c>
      <c r="R158" s="307">
        <f t="shared" si="114"/>
        <v>0</v>
      </c>
      <c r="S158" s="307">
        <f t="shared" si="114"/>
        <v>0</v>
      </c>
      <c r="T158" s="307">
        <f t="shared" si="114"/>
        <v>0</v>
      </c>
      <c r="U158" s="307">
        <f t="shared" si="114"/>
        <v>0</v>
      </c>
    </row>
    <row r="159" spans="1:21" s="29" customFormat="1" ht="13.15" customHeight="1" x14ac:dyDescent="0.2">
      <c r="A159" s="23"/>
      <c r="B159" s="24"/>
      <c r="C159" s="519"/>
      <c r="D159" s="96" t="s">
        <v>21</v>
      </c>
      <c r="E159" s="551"/>
      <c r="F159" s="90">
        <f t="shared" ref="F159:U159" si="115">(F160+F161)*F93</f>
        <v>0</v>
      </c>
      <c r="G159" s="90">
        <f t="shared" si="115"/>
        <v>0</v>
      </c>
      <c r="H159" s="90">
        <f t="shared" si="115"/>
        <v>0</v>
      </c>
      <c r="I159" s="90">
        <f t="shared" si="115"/>
        <v>0</v>
      </c>
      <c r="J159" s="90">
        <f t="shared" si="115"/>
        <v>0</v>
      </c>
      <c r="K159" s="90">
        <f t="shared" si="115"/>
        <v>0</v>
      </c>
      <c r="L159" s="90">
        <f t="shared" si="115"/>
        <v>0</v>
      </c>
      <c r="M159" s="90">
        <f t="shared" si="115"/>
        <v>0</v>
      </c>
      <c r="N159" s="90">
        <f t="shared" si="115"/>
        <v>0</v>
      </c>
      <c r="O159" s="90">
        <f t="shared" si="115"/>
        <v>0</v>
      </c>
      <c r="P159" s="90">
        <f t="shared" si="115"/>
        <v>0</v>
      </c>
      <c r="Q159" s="90">
        <f t="shared" si="115"/>
        <v>0</v>
      </c>
      <c r="R159" s="90">
        <f t="shared" si="115"/>
        <v>0</v>
      </c>
      <c r="S159" s="90">
        <f t="shared" si="115"/>
        <v>0</v>
      </c>
      <c r="T159" s="90">
        <f t="shared" si="115"/>
        <v>0</v>
      </c>
      <c r="U159" s="90">
        <f t="shared" si="115"/>
        <v>0</v>
      </c>
    </row>
    <row r="160" spans="1:21" s="29" customFormat="1" ht="13.15" customHeight="1" x14ac:dyDescent="0.2">
      <c r="A160" s="23"/>
      <c r="B160" s="24"/>
      <c r="C160" s="519"/>
      <c r="D160" s="210" t="s">
        <v>22</v>
      </c>
      <c r="F160" s="91">
        <f t="shared" ref="F160:U160" si="116">$E$27</f>
        <v>0</v>
      </c>
      <c r="G160" s="91">
        <f t="shared" si="116"/>
        <v>0</v>
      </c>
      <c r="H160" s="91">
        <f t="shared" si="116"/>
        <v>0</v>
      </c>
      <c r="I160" s="91">
        <f t="shared" si="116"/>
        <v>0</v>
      </c>
      <c r="J160" s="91">
        <f t="shared" si="116"/>
        <v>0</v>
      </c>
      <c r="K160" s="91">
        <f t="shared" si="116"/>
        <v>0</v>
      </c>
      <c r="L160" s="91">
        <f t="shared" si="116"/>
        <v>0</v>
      </c>
      <c r="M160" s="91">
        <f t="shared" si="116"/>
        <v>0</v>
      </c>
      <c r="N160" s="91">
        <f t="shared" si="116"/>
        <v>0</v>
      </c>
      <c r="O160" s="91">
        <f t="shared" si="116"/>
        <v>0</v>
      </c>
      <c r="P160" s="91">
        <f t="shared" si="116"/>
        <v>0</v>
      </c>
      <c r="Q160" s="91">
        <f t="shared" si="116"/>
        <v>0</v>
      </c>
      <c r="R160" s="91">
        <f t="shared" si="116"/>
        <v>0</v>
      </c>
      <c r="S160" s="91">
        <f t="shared" si="116"/>
        <v>0</v>
      </c>
      <c r="T160" s="91">
        <f t="shared" si="116"/>
        <v>0</v>
      </c>
      <c r="U160" s="91">
        <f t="shared" si="116"/>
        <v>0</v>
      </c>
    </row>
    <row r="161" spans="1:21" s="29" customFormat="1" ht="12.75" x14ac:dyDescent="0.2">
      <c r="A161" s="23"/>
      <c r="B161" s="24"/>
      <c r="C161" s="519"/>
      <c r="D161" s="210" t="s">
        <v>23</v>
      </c>
      <c r="E161" s="20"/>
      <c r="F161" s="91">
        <f t="shared" ref="F161:U161" si="117">$E$28</f>
        <v>0</v>
      </c>
      <c r="G161" s="91">
        <f t="shared" si="117"/>
        <v>0</v>
      </c>
      <c r="H161" s="91">
        <f t="shared" si="117"/>
        <v>0</v>
      </c>
      <c r="I161" s="91">
        <f t="shared" si="117"/>
        <v>0</v>
      </c>
      <c r="J161" s="91">
        <f t="shared" si="117"/>
        <v>0</v>
      </c>
      <c r="K161" s="91">
        <f t="shared" si="117"/>
        <v>0</v>
      </c>
      <c r="L161" s="91">
        <f t="shared" si="117"/>
        <v>0</v>
      </c>
      <c r="M161" s="91">
        <f t="shared" si="117"/>
        <v>0</v>
      </c>
      <c r="N161" s="91">
        <f t="shared" si="117"/>
        <v>0</v>
      </c>
      <c r="O161" s="91">
        <f t="shared" si="117"/>
        <v>0</v>
      </c>
      <c r="P161" s="91">
        <f t="shared" si="117"/>
        <v>0</v>
      </c>
      <c r="Q161" s="91">
        <f t="shared" si="117"/>
        <v>0</v>
      </c>
      <c r="R161" s="91">
        <f t="shared" si="117"/>
        <v>0</v>
      </c>
      <c r="S161" s="91">
        <f t="shared" si="117"/>
        <v>0</v>
      </c>
      <c r="T161" s="91">
        <f t="shared" si="117"/>
        <v>0</v>
      </c>
      <c r="U161" s="91">
        <f t="shared" si="117"/>
        <v>0</v>
      </c>
    </row>
    <row r="162" spans="1:21" s="9" customFormat="1" ht="12.75" x14ac:dyDescent="0.2">
      <c r="A162" s="11"/>
      <c r="B162" s="5"/>
      <c r="C162" s="519"/>
      <c r="D162" s="96" t="s">
        <v>24</v>
      </c>
      <c r="E162" s="20"/>
      <c r="F162" s="92">
        <f t="shared" ref="F162:U162" si="118">F163*F93</f>
        <v>0</v>
      </c>
      <c r="G162" s="92">
        <f t="shared" si="118"/>
        <v>0</v>
      </c>
      <c r="H162" s="92">
        <f t="shared" si="118"/>
        <v>0</v>
      </c>
      <c r="I162" s="92">
        <f t="shared" si="118"/>
        <v>0</v>
      </c>
      <c r="J162" s="92">
        <f t="shared" si="118"/>
        <v>0</v>
      </c>
      <c r="K162" s="92">
        <f t="shared" si="118"/>
        <v>0</v>
      </c>
      <c r="L162" s="92">
        <f t="shared" si="118"/>
        <v>0</v>
      </c>
      <c r="M162" s="92">
        <f t="shared" si="118"/>
        <v>0</v>
      </c>
      <c r="N162" s="92">
        <f t="shared" si="118"/>
        <v>0</v>
      </c>
      <c r="O162" s="92">
        <f t="shared" si="118"/>
        <v>0</v>
      </c>
      <c r="P162" s="92">
        <f t="shared" si="118"/>
        <v>0</v>
      </c>
      <c r="Q162" s="92">
        <f t="shared" si="118"/>
        <v>0</v>
      </c>
      <c r="R162" s="92">
        <f t="shared" si="118"/>
        <v>0</v>
      </c>
      <c r="S162" s="92">
        <f t="shared" si="118"/>
        <v>0</v>
      </c>
      <c r="T162" s="92">
        <f t="shared" si="118"/>
        <v>0</v>
      </c>
      <c r="U162" s="92">
        <f t="shared" si="118"/>
        <v>0</v>
      </c>
    </row>
    <row r="163" spans="1:21" ht="12.75" customHeight="1" x14ac:dyDescent="0.2">
      <c r="D163" s="210" t="s">
        <v>25</v>
      </c>
      <c r="F163" s="93">
        <f t="shared" ref="F163:U163" si="119">$E$29</f>
        <v>0</v>
      </c>
      <c r="G163" s="93">
        <f t="shared" si="119"/>
        <v>0</v>
      </c>
      <c r="H163" s="93">
        <f t="shared" si="119"/>
        <v>0</v>
      </c>
      <c r="I163" s="93">
        <f t="shared" si="119"/>
        <v>0</v>
      </c>
      <c r="J163" s="93">
        <f t="shared" si="119"/>
        <v>0</v>
      </c>
      <c r="K163" s="93">
        <f t="shared" si="119"/>
        <v>0</v>
      </c>
      <c r="L163" s="93">
        <f t="shared" si="119"/>
        <v>0</v>
      </c>
      <c r="M163" s="93">
        <f t="shared" si="119"/>
        <v>0</v>
      </c>
      <c r="N163" s="93">
        <f t="shared" si="119"/>
        <v>0</v>
      </c>
      <c r="O163" s="93">
        <f t="shared" si="119"/>
        <v>0</v>
      </c>
      <c r="P163" s="93">
        <f t="shared" si="119"/>
        <v>0</v>
      </c>
      <c r="Q163" s="93">
        <f t="shared" si="119"/>
        <v>0</v>
      </c>
      <c r="R163" s="93">
        <f t="shared" si="119"/>
        <v>0</v>
      </c>
      <c r="S163" s="93">
        <f t="shared" si="119"/>
        <v>0</v>
      </c>
      <c r="T163" s="93">
        <f t="shared" si="119"/>
        <v>0</v>
      </c>
      <c r="U163" s="93">
        <f t="shared" si="119"/>
        <v>0</v>
      </c>
    </row>
    <row r="164" spans="1:21" s="9" customFormat="1" ht="22.15" customHeight="1" x14ac:dyDescent="0.2">
      <c r="A164" s="11"/>
      <c r="B164" s="5"/>
      <c r="C164" s="519"/>
      <c r="D164" s="552"/>
      <c r="E164" s="7"/>
      <c r="F164" s="7"/>
      <c r="G164" s="7"/>
      <c r="H164" s="7"/>
      <c r="I164" s="7"/>
      <c r="J164" s="7"/>
      <c r="K164" s="7"/>
      <c r="L164" s="7"/>
      <c r="M164" s="7"/>
      <c r="N164" s="7"/>
      <c r="O164" s="7"/>
      <c r="P164" s="7"/>
      <c r="Q164" s="7"/>
      <c r="R164" s="7"/>
      <c r="S164" s="7"/>
      <c r="T164" s="7"/>
      <c r="U164" s="7"/>
    </row>
    <row r="165" spans="1:21" s="40" customFormat="1" ht="18" customHeight="1" x14ac:dyDescent="0.2">
      <c r="A165" s="38"/>
      <c r="B165" s="39"/>
      <c r="C165" s="519"/>
      <c r="D165" s="305" t="s">
        <v>286</v>
      </c>
      <c r="E165" s="306" t="s">
        <v>171</v>
      </c>
      <c r="F165" s="307">
        <f>F166+F170+F173+F175</f>
        <v>0</v>
      </c>
      <c r="G165" s="307">
        <f t="shared" ref="G165:U165" si="120">G166+G170+G173+G175</f>
        <v>0</v>
      </c>
      <c r="H165" s="307">
        <f t="shared" si="120"/>
        <v>0</v>
      </c>
      <c r="I165" s="307">
        <f t="shared" si="120"/>
        <v>0</v>
      </c>
      <c r="J165" s="307">
        <f t="shared" si="120"/>
        <v>0</v>
      </c>
      <c r="K165" s="307">
        <f t="shared" si="120"/>
        <v>0</v>
      </c>
      <c r="L165" s="307">
        <f t="shared" si="120"/>
        <v>0</v>
      </c>
      <c r="M165" s="307">
        <f t="shared" si="120"/>
        <v>0</v>
      </c>
      <c r="N165" s="307">
        <f t="shared" si="120"/>
        <v>0</v>
      </c>
      <c r="O165" s="307">
        <f t="shared" si="120"/>
        <v>0</v>
      </c>
      <c r="P165" s="307">
        <f t="shared" si="120"/>
        <v>0</v>
      </c>
      <c r="Q165" s="307">
        <f t="shared" si="120"/>
        <v>0</v>
      </c>
      <c r="R165" s="307">
        <f t="shared" si="120"/>
        <v>0</v>
      </c>
      <c r="S165" s="307">
        <f t="shared" si="120"/>
        <v>0</v>
      </c>
      <c r="T165" s="307">
        <f t="shared" si="120"/>
        <v>0</v>
      </c>
      <c r="U165" s="307">
        <f t="shared" si="120"/>
        <v>0</v>
      </c>
    </row>
    <row r="166" spans="1:21" s="78" customFormat="1" ht="12.75" x14ac:dyDescent="0.2">
      <c r="A166" s="185"/>
      <c r="B166" s="186"/>
      <c r="C166" s="519"/>
      <c r="D166" s="218" t="s">
        <v>66</v>
      </c>
      <c r="E166" s="187"/>
      <c r="F166" s="188">
        <f t="shared" ref="F166:U166" si="121">F167*F169*F94+F168*F169*F95</f>
        <v>0</v>
      </c>
      <c r="G166" s="188">
        <f t="shared" si="121"/>
        <v>0</v>
      </c>
      <c r="H166" s="188">
        <f t="shared" si="121"/>
        <v>0</v>
      </c>
      <c r="I166" s="188">
        <f t="shared" si="121"/>
        <v>0</v>
      </c>
      <c r="J166" s="188">
        <f t="shared" si="121"/>
        <v>0</v>
      </c>
      <c r="K166" s="188">
        <f t="shared" si="121"/>
        <v>0</v>
      </c>
      <c r="L166" s="188">
        <f t="shared" si="121"/>
        <v>0</v>
      </c>
      <c r="M166" s="188">
        <f t="shared" si="121"/>
        <v>0</v>
      </c>
      <c r="N166" s="188">
        <f t="shared" si="121"/>
        <v>0</v>
      </c>
      <c r="O166" s="188">
        <f t="shared" si="121"/>
        <v>0</v>
      </c>
      <c r="P166" s="188">
        <f t="shared" si="121"/>
        <v>0</v>
      </c>
      <c r="Q166" s="188">
        <f t="shared" si="121"/>
        <v>0</v>
      </c>
      <c r="R166" s="188">
        <f t="shared" si="121"/>
        <v>0</v>
      </c>
      <c r="S166" s="188">
        <f t="shared" si="121"/>
        <v>0</v>
      </c>
      <c r="T166" s="188">
        <f t="shared" si="121"/>
        <v>0</v>
      </c>
      <c r="U166" s="188">
        <f t="shared" si="121"/>
        <v>0</v>
      </c>
    </row>
    <row r="167" spans="1:21" s="9" customFormat="1" ht="12.75" x14ac:dyDescent="0.2">
      <c r="A167" s="11"/>
      <c r="B167" s="5"/>
      <c r="C167" s="519"/>
      <c r="D167" s="219" t="s">
        <v>172</v>
      </c>
      <c r="E167" s="171"/>
      <c r="F167" s="170">
        <f>IFERROR($E$33/$E$35*$E$16*365,0)</f>
        <v>0</v>
      </c>
      <c r="G167" s="170">
        <f t="shared" ref="G167:U167" si="122">F167*(1+$E$36)</f>
        <v>0</v>
      </c>
      <c r="H167" s="170">
        <f t="shared" si="122"/>
        <v>0</v>
      </c>
      <c r="I167" s="170">
        <f t="shared" si="122"/>
        <v>0</v>
      </c>
      <c r="J167" s="170">
        <f t="shared" si="122"/>
        <v>0</v>
      </c>
      <c r="K167" s="170">
        <f t="shared" si="122"/>
        <v>0</v>
      </c>
      <c r="L167" s="170">
        <f t="shared" si="122"/>
        <v>0</v>
      </c>
      <c r="M167" s="170">
        <f t="shared" si="122"/>
        <v>0</v>
      </c>
      <c r="N167" s="170">
        <f t="shared" si="122"/>
        <v>0</v>
      </c>
      <c r="O167" s="170">
        <f t="shared" si="122"/>
        <v>0</v>
      </c>
      <c r="P167" s="170">
        <f t="shared" si="122"/>
        <v>0</v>
      </c>
      <c r="Q167" s="170">
        <f t="shared" si="122"/>
        <v>0</v>
      </c>
      <c r="R167" s="170">
        <f t="shared" si="122"/>
        <v>0</v>
      </c>
      <c r="S167" s="170">
        <f t="shared" si="122"/>
        <v>0</v>
      </c>
      <c r="T167" s="170">
        <f t="shared" si="122"/>
        <v>0</v>
      </c>
      <c r="U167" s="170">
        <f t="shared" si="122"/>
        <v>0</v>
      </c>
    </row>
    <row r="168" spans="1:21" s="9" customFormat="1" ht="12.75" x14ac:dyDescent="0.2">
      <c r="A168" s="11"/>
      <c r="B168" s="5"/>
      <c r="C168" s="519"/>
      <c r="D168" s="219" t="s">
        <v>173</v>
      </c>
      <c r="E168" s="171"/>
      <c r="F168" s="170">
        <f>IFERROR($E$34/$E$35*$E$16*365,0)</f>
        <v>0</v>
      </c>
      <c r="G168" s="170">
        <f t="shared" ref="G168:U168" si="123">F168*(1+$E$36)</f>
        <v>0</v>
      </c>
      <c r="H168" s="170">
        <f t="shared" si="123"/>
        <v>0</v>
      </c>
      <c r="I168" s="170">
        <f t="shared" si="123"/>
        <v>0</v>
      </c>
      <c r="J168" s="170">
        <f t="shared" si="123"/>
        <v>0</v>
      </c>
      <c r="K168" s="170">
        <f t="shared" si="123"/>
        <v>0</v>
      </c>
      <c r="L168" s="170">
        <f t="shared" si="123"/>
        <v>0</v>
      </c>
      <c r="M168" s="170">
        <f t="shared" si="123"/>
        <v>0</v>
      </c>
      <c r="N168" s="170">
        <f t="shared" si="123"/>
        <v>0</v>
      </c>
      <c r="O168" s="170">
        <f t="shared" si="123"/>
        <v>0</v>
      </c>
      <c r="P168" s="170">
        <f t="shared" si="123"/>
        <v>0</v>
      </c>
      <c r="Q168" s="170">
        <f t="shared" si="123"/>
        <v>0</v>
      </c>
      <c r="R168" s="170">
        <f t="shared" si="123"/>
        <v>0</v>
      </c>
      <c r="S168" s="170">
        <f t="shared" si="123"/>
        <v>0</v>
      </c>
      <c r="T168" s="170">
        <f t="shared" si="123"/>
        <v>0</v>
      </c>
      <c r="U168" s="170">
        <f t="shared" si="123"/>
        <v>0</v>
      </c>
    </row>
    <row r="169" spans="1:21" s="9" customFormat="1" ht="12.75" x14ac:dyDescent="0.2">
      <c r="A169" s="11"/>
      <c r="B169" s="5"/>
      <c r="C169" s="519"/>
      <c r="D169" s="219" t="s">
        <v>67</v>
      </c>
      <c r="E169" s="8"/>
      <c r="F169" s="172">
        <f>E31</f>
        <v>0</v>
      </c>
      <c r="G169" s="172">
        <f t="shared" ref="G169:U169" si="124">F169*(1+$E$32)</f>
        <v>0</v>
      </c>
      <c r="H169" s="172">
        <f t="shared" si="124"/>
        <v>0</v>
      </c>
      <c r="I169" s="172">
        <f t="shared" si="124"/>
        <v>0</v>
      </c>
      <c r="J169" s="172">
        <f t="shared" si="124"/>
        <v>0</v>
      </c>
      <c r="K169" s="172">
        <f t="shared" si="124"/>
        <v>0</v>
      </c>
      <c r="L169" s="172">
        <f t="shared" si="124"/>
        <v>0</v>
      </c>
      <c r="M169" s="172">
        <f t="shared" si="124"/>
        <v>0</v>
      </c>
      <c r="N169" s="172">
        <f t="shared" si="124"/>
        <v>0</v>
      </c>
      <c r="O169" s="172">
        <f t="shared" si="124"/>
        <v>0</v>
      </c>
      <c r="P169" s="172">
        <f t="shared" si="124"/>
        <v>0</v>
      </c>
      <c r="Q169" s="172">
        <f t="shared" si="124"/>
        <v>0</v>
      </c>
      <c r="R169" s="172">
        <f t="shared" si="124"/>
        <v>0</v>
      </c>
      <c r="S169" s="172">
        <f t="shared" si="124"/>
        <v>0</v>
      </c>
      <c r="T169" s="172">
        <f t="shared" si="124"/>
        <v>0</v>
      </c>
      <c r="U169" s="172">
        <f t="shared" si="124"/>
        <v>0</v>
      </c>
    </row>
    <row r="170" spans="1:21" s="78" customFormat="1" ht="12.75" x14ac:dyDescent="0.2">
      <c r="A170" s="185"/>
      <c r="B170" s="186"/>
      <c r="C170" s="519"/>
      <c r="D170" s="220" t="s">
        <v>68</v>
      </c>
      <c r="E170" s="189"/>
      <c r="F170" s="188">
        <f>F172*F171</f>
        <v>0</v>
      </c>
      <c r="G170" s="190">
        <f t="shared" ref="G170:U170" si="125">G172*G171</f>
        <v>0</v>
      </c>
      <c r="H170" s="190">
        <f t="shared" si="125"/>
        <v>0</v>
      </c>
      <c r="I170" s="190">
        <f t="shared" si="125"/>
        <v>0</v>
      </c>
      <c r="J170" s="190">
        <f t="shared" si="125"/>
        <v>0</v>
      </c>
      <c r="K170" s="190">
        <f t="shared" si="125"/>
        <v>0</v>
      </c>
      <c r="L170" s="190">
        <f t="shared" si="125"/>
        <v>0</v>
      </c>
      <c r="M170" s="190">
        <f t="shared" si="125"/>
        <v>0</v>
      </c>
      <c r="N170" s="190">
        <f t="shared" si="125"/>
        <v>0</v>
      </c>
      <c r="O170" s="190">
        <f t="shared" si="125"/>
        <v>0</v>
      </c>
      <c r="P170" s="190">
        <f t="shared" si="125"/>
        <v>0</v>
      </c>
      <c r="Q170" s="190">
        <f t="shared" si="125"/>
        <v>0</v>
      </c>
      <c r="R170" s="190">
        <f t="shared" si="125"/>
        <v>0</v>
      </c>
      <c r="S170" s="190">
        <f t="shared" si="125"/>
        <v>0</v>
      </c>
      <c r="T170" s="190">
        <f t="shared" si="125"/>
        <v>0</v>
      </c>
      <c r="U170" s="190">
        <f t="shared" si="125"/>
        <v>0</v>
      </c>
    </row>
    <row r="171" spans="1:21" s="177" customFormat="1" ht="12.75" x14ac:dyDescent="0.2">
      <c r="A171" s="173"/>
      <c r="B171" s="174"/>
      <c r="C171" s="519"/>
      <c r="D171" s="219" t="s">
        <v>69</v>
      </c>
      <c r="E171" s="175"/>
      <c r="F171" s="183">
        <f>E37</f>
        <v>0</v>
      </c>
      <c r="G171" s="176">
        <f t="shared" ref="G171:U171" si="126">F171*(1+$E$38)</f>
        <v>0</v>
      </c>
      <c r="H171" s="176">
        <f t="shared" si="126"/>
        <v>0</v>
      </c>
      <c r="I171" s="176">
        <f t="shared" si="126"/>
        <v>0</v>
      </c>
      <c r="J171" s="176">
        <f t="shared" si="126"/>
        <v>0</v>
      </c>
      <c r="K171" s="176">
        <f t="shared" si="126"/>
        <v>0</v>
      </c>
      <c r="L171" s="176">
        <f t="shared" si="126"/>
        <v>0</v>
      </c>
      <c r="M171" s="176">
        <f t="shared" si="126"/>
        <v>0</v>
      </c>
      <c r="N171" s="176">
        <f t="shared" si="126"/>
        <v>0</v>
      </c>
      <c r="O171" s="176">
        <f t="shared" si="126"/>
        <v>0</v>
      </c>
      <c r="P171" s="176">
        <f t="shared" si="126"/>
        <v>0</v>
      </c>
      <c r="Q171" s="176">
        <f t="shared" si="126"/>
        <v>0</v>
      </c>
      <c r="R171" s="176">
        <f t="shared" si="126"/>
        <v>0</v>
      </c>
      <c r="S171" s="176">
        <f t="shared" si="126"/>
        <v>0</v>
      </c>
      <c r="T171" s="176">
        <f t="shared" si="126"/>
        <v>0</v>
      </c>
      <c r="U171" s="176">
        <f t="shared" si="126"/>
        <v>0</v>
      </c>
    </row>
    <row r="172" spans="1:21" s="177" customFormat="1" ht="12.75" x14ac:dyDescent="0.2">
      <c r="A172" s="173"/>
      <c r="B172" s="174"/>
      <c r="C172" s="519"/>
      <c r="D172" s="219" t="s">
        <v>70</v>
      </c>
      <c r="E172" s="175"/>
      <c r="F172" s="178">
        <f t="shared" ref="F172:U172" si="127">IFERROR(F167*F94+F168*F95,0)</f>
        <v>0</v>
      </c>
      <c r="G172" s="178">
        <f t="shared" si="127"/>
        <v>0</v>
      </c>
      <c r="H172" s="178">
        <f t="shared" si="127"/>
        <v>0</v>
      </c>
      <c r="I172" s="178">
        <f t="shared" si="127"/>
        <v>0</v>
      </c>
      <c r="J172" s="178">
        <f t="shared" si="127"/>
        <v>0</v>
      </c>
      <c r="K172" s="178">
        <f t="shared" si="127"/>
        <v>0</v>
      </c>
      <c r="L172" s="178">
        <f t="shared" si="127"/>
        <v>0</v>
      </c>
      <c r="M172" s="178">
        <f t="shared" si="127"/>
        <v>0</v>
      </c>
      <c r="N172" s="178">
        <f t="shared" si="127"/>
        <v>0</v>
      </c>
      <c r="O172" s="178">
        <f t="shared" si="127"/>
        <v>0</v>
      </c>
      <c r="P172" s="178">
        <f t="shared" si="127"/>
        <v>0</v>
      </c>
      <c r="Q172" s="178">
        <f t="shared" si="127"/>
        <v>0</v>
      </c>
      <c r="R172" s="178">
        <f t="shared" si="127"/>
        <v>0</v>
      </c>
      <c r="S172" s="178">
        <f t="shared" si="127"/>
        <v>0</v>
      </c>
      <c r="T172" s="178">
        <f t="shared" si="127"/>
        <v>0</v>
      </c>
      <c r="U172" s="178">
        <f t="shared" si="127"/>
        <v>0</v>
      </c>
    </row>
    <row r="173" spans="1:21" s="78" customFormat="1" ht="12.75" x14ac:dyDescent="0.2">
      <c r="A173" s="185"/>
      <c r="B173" s="186"/>
      <c r="C173" s="519"/>
      <c r="D173" s="218" t="s">
        <v>71</v>
      </c>
      <c r="E173" s="187"/>
      <c r="F173" s="188">
        <f t="shared" ref="F173:U173" si="128">F174*(F88+F89)</f>
        <v>0</v>
      </c>
      <c r="G173" s="188">
        <f t="shared" si="128"/>
        <v>0</v>
      </c>
      <c r="H173" s="188">
        <f t="shared" si="128"/>
        <v>0</v>
      </c>
      <c r="I173" s="188">
        <f t="shared" si="128"/>
        <v>0</v>
      </c>
      <c r="J173" s="188">
        <f t="shared" si="128"/>
        <v>0</v>
      </c>
      <c r="K173" s="188">
        <f t="shared" si="128"/>
        <v>0</v>
      </c>
      <c r="L173" s="188">
        <f t="shared" si="128"/>
        <v>0</v>
      </c>
      <c r="M173" s="188">
        <f t="shared" si="128"/>
        <v>0</v>
      </c>
      <c r="N173" s="188">
        <f t="shared" si="128"/>
        <v>0</v>
      </c>
      <c r="O173" s="188">
        <f t="shared" si="128"/>
        <v>0</v>
      </c>
      <c r="P173" s="188">
        <f t="shared" si="128"/>
        <v>0</v>
      </c>
      <c r="Q173" s="188">
        <f t="shared" si="128"/>
        <v>0</v>
      </c>
      <c r="R173" s="188">
        <f t="shared" si="128"/>
        <v>0</v>
      </c>
      <c r="S173" s="188">
        <f t="shared" si="128"/>
        <v>0</v>
      </c>
      <c r="T173" s="188">
        <f t="shared" si="128"/>
        <v>0</v>
      </c>
      <c r="U173" s="188">
        <f t="shared" si="128"/>
        <v>0</v>
      </c>
    </row>
    <row r="174" spans="1:21" s="177" customFormat="1" ht="12.75" x14ac:dyDescent="0.2">
      <c r="A174" s="173"/>
      <c r="B174" s="174"/>
      <c r="C174" s="519"/>
      <c r="D174" s="219" t="s">
        <v>72</v>
      </c>
      <c r="E174" s="175"/>
      <c r="F174" s="191">
        <f>$E$39</f>
        <v>0</v>
      </c>
      <c r="G174" s="179">
        <f t="shared" ref="G174:U174" si="129">F174*(1+$E$40)</f>
        <v>0</v>
      </c>
      <c r="H174" s="179">
        <f t="shared" si="129"/>
        <v>0</v>
      </c>
      <c r="I174" s="179">
        <f t="shared" si="129"/>
        <v>0</v>
      </c>
      <c r="J174" s="179">
        <f t="shared" si="129"/>
        <v>0</v>
      </c>
      <c r="K174" s="179">
        <f t="shared" si="129"/>
        <v>0</v>
      </c>
      <c r="L174" s="179">
        <f t="shared" si="129"/>
        <v>0</v>
      </c>
      <c r="M174" s="179">
        <f t="shared" si="129"/>
        <v>0</v>
      </c>
      <c r="N174" s="179">
        <f t="shared" si="129"/>
        <v>0</v>
      </c>
      <c r="O174" s="179">
        <f t="shared" si="129"/>
        <v>0</v>
      </c>
      <c r="P174" s="179">
        <f t="shared" si="129"/>
        <v>0</v>
      </c>
      <c r="Q174" s="179">
        <f t="shared" si="129"/>
        <v>0</v>
      </c>
      <c r="R174" s="179">
        <f t="shared" si="129"/>
        <v>0</v>
      </c>
      <c r="S174" s="179">
        <f t="shared" si="129"/>
        <v>0</v>
      </c>
      <c r="T174" s="179">
        <f t="shared" si="129"/>
        <v>0</v>
      </c>
      <c r="U174" s="179">
        <f t="shared" si="129"/>
        <v>0</v>
      </c>
    </row>
    <row r="175" spans="1:21" s="78" customFormat="1" ht="12.75" x14ac:dyDescent="0.2">
      <c r="A175" s="185"/>
      <c r="B175" s="186"/>
      <c r="C175" s="519"/>
      <c r="D175" s="218" t="s">
        <v>201</v>
      </c>
      <c r="E175" s="187"/>
      <c r="F175" s="308">
        <f>E41</f>
        <v>0</v>
      </c>
      <c r="G175" s="308">
        <f t="shared" ref="G175:U175" si="130">F$175*(1+$E$42)</f>
        <v>0</v>
      </c>
      <c r="H175" s="308">
        <f t="shared" si="130"/>
        <v>0</v>
      </c>
      <c r="I175" s="308">
        <f t="shared" si="130"/>
        <v>0</v>
      </c>
      <c r="J175" s="308">
        <f t="shared" si="130"/>
        <v>0</v>
      </c>
      <c r="K175" s="308">
        <f t="shared" si="130"/>
        <v>0</v>
      </c>
      <c r="L175" s="308">
        <f t="shared" si="130"/>
        <v>0</v>
      </c>
      <c r="M175" s="308">
        <f t="shared" si="130"/>
        <v>0</v>
      </c>
      <c r="N175" s="308">
        <f t="shared" si="130"/>
        <v>0</v>
      </c>
      <c r="O175" s="308">
        <f t="shared" si="130"/>
        <v>0</v>
      </c>
      <c r="P175" s="308">
        <f t="shared" si="130"/>
        <v>0</v>
      </c>
      <c r="Q175" s="308">
        <f t="shared" si="130"/>
        <v>0</v>
      </c>
      <c r="R175" s="308">
        <f t="shared" si="130"/>
        <v>0</v>
      </c>
      <c r="S175" s="308">
        <f t="shared" si="130"/>
        <v>0</v>
      </c>
      <c r="T175" s="308">
        <f t="shared" si="130"/>
        <v>0</v>
      </c>
      <c r="U175" s="308">
        <f t="shared" si="130"/>
        <v>0</v>
      </c>
    </row>
    <row r="176" spans="1:21" ht="12.6" customHeight="1" x14ac:dyDescent="0.2">
      <c r="D176" s="22"/>
    </row>
    <row r="177" spans="1:21" s="9" customFormat="1" ht="12.6" customHeight="1" x14ac:dyDescent="0.2">
      <c r="A177" s="11"/>
      <c r="B177" s="5"/>
      <c r="C177" s="519"/>
      <c r="D177" s="304" t="s">
        <v>174</v>
      </c>
      <c r="E177" s="7"/>
      <c r="F177" s="7"/>
      <c r="G177" s="7"/>
      <c r="H177" s="7"/>
      <c r="I177" s="7"/>
      <c r="J177" s="7"/>
      <c r="K177" s="7"/>
      <c r="L177" s="7"/>
      <c r="M177" s="7"/>
      <c r="N177" s="7"/>
      <c r="O177" s="7"/>
      <c r="P177" s="7"/>
      <c r="Q177" s="7"/>
      <c r="R177" s="7"/>
      <c r="S177" s="7"/>
      <c r="T177" s="7"/>
      <c r="U177" s="7"/>
    </row>
    <row r="178" spans="1:21" ht="12.6" customHeight="1" x14ac:dyDescent="0.2">
      <c r="D178" s="304" t="s">
        <v>317</v>
      </c>
      <c r="G178" s="147"/>
      <c r="H178" s="147"/>
      <c r="I178" s="147"/>
      <c r="J178" s="147"/>
      <c r="K178" s="147"/>
      <c r="L178" s="147"/>
      <c r="M178" s="147"/>
      <c r="N178" s="147"/>
      <c r="O178" s="147"/>
      <c r="P178" s="147"/>
      <c r="Q178" s="147"/>
      <c r="R178" s="147"/>
      <c r="S178" s="147"/>
      <c r="T178" s="147"/>
      <c r="U178" s="147"/>
    </row>
    <row r="179" spans="1:21" ht="24.6" customHeight="1" thickBot="1" x14ac:dyDescent="0.25">
      <c r="E179"/>
      <c r="G179" s="147"/>
      <c r="H179" s="146"/>
      <c r="I179" s="146"/>
      <c r="J179" s="146"/>
      <c r="K179" s="146"/>
      <c r="L179" s="146"/>
      <c r="M179" s="146"/>
      <c r="N179" s="146"/>
      <c r="O179" s="146"/>
      <c r="P179" s="146"/>
      <c r="Q179" s="146"/>
      <c r="R179" s="146"/>
      <c r="S179" s="146"/>
      <c r="T179" s="146"/>
      <c r="U179" s="146"/>
    </row>
    <row r="180" spans="1:21" s="9" customFormat="1" ht="15" customHeight="1" x14ac:dyDescent="0.2">
      <c r="A180" s="11"/>
      <c r="B180" s="5"/>
      <c r="C180" s="519"/>
      <c r="D180" s="75" t="str">
        <f>Input!D88</f>
        <v xml:space="preserve">  Purchasing price of conventional 12 - 13.5 m diesel bus in 2015 [EUR/ vehicle]</v>
      </c>
      <c r="E180" s="282">
        <f>Input!E88</f>
        <v>231500</v>
      </c>
      <c r="F180" s="227"/>
      <c r="G180" s="147"/>
      <c r="H180" s="146"/>
      <c r="I180" s="146"/>
      <c r="J180" s="146"/>
      <c r="K180" s="146"/>
      <c r="L180" s="146"/>
      <c r="M180" s="146"/>
      <c r="N180" s="146"/>
      <c r="O180" s="146"/>
      <c r="P180" s="146"/>
      <c r="Q180" s="146"/>
      <c r="R180" s="146"/>
      <c r="S180" s="146"/>
      <c r="T180" s="146"/>
      <c r="U180" s="146"/>
    </row>
    <row r="181" spans="1:21" s="9" customFormat="1" ht="15" customHeight="1" x14ac:dyDescent="0.2">
      <c r="A181" s="11"/>
      <c r="B181" s="5"/>
      <c r="C181" s="519"/>
      <c r="D181" s="83" t="str">
        <f>Input!D89</f>
        <v xml:space="preserve">  Annual expected evolution of conventional diesel 12 - 13.5 m bus price until 2030 [%]</v>
      </c>
      <c r="E181" s="348">
        <f>Input!E89</f>
        <v>3.5000000000000001E-3</v>
      </c>
      <c r="F181" s="227"/>
      <c r="G181" s="147"/>
      <c r="H181" s="146"/>
      <c r="I181" s="146"/>
      <c r="J181" s="146"/>
      <c r="K181" s="146"/>
      <c r="L181" s="146"/>
      <c r="M181" s="146"/>
      <c r="N181" s="146"/>
      <c r="O181" s="146"/>
      <c r="P181" s="146"/>
      <c r="Q181" s="146"/>
      <c r="R181" s="146"/>
      <c r="S181" s="146"/>
      <c r="T181" s="146"/>
      <c r="U181" s="146"/>
    </row>
    <row r="182" spans="1:21" s="9" customFormat="1" ht="15" customHeight="1" x14ac:dyDescent="0.2">
      <c r="A182" s="11"/>
      <c r="B182" s="5"/>
      <c r="C182" s="519"/>
      <c r="D182" s="83" t="str">
        <f>Input!D90</f>
        <v xml:space="preserve">  Purchasing price of conventional 18 m diesel bus in 2015 [EUR/ vehicle]</v>
      </c>
      <c r="E182" s="88">
        <f>Input!E90</f>
        <v>331700</v>
      </c>
      <c r="F182" s="227"/>
      <c r="G182" s="147"/>
      <c r="H182" s="146"/>
      <c r="I182" s="146"/>
      <c r="J182" s="146"/>
      <c r="K182" s="146"/>
      <c r="L182" s="146"/>
      <c r="M182" s="146"/>
      <c r="N182" s="146"/>
      <c r="O182" s="146"/>
      <c r="P182" s="146"/>
      <c r="Q182" s="146"/>
      <c r="R182" s="146"/>
      <c r="S182" s="146"/>
      <c r="T182" s="146"/>
      <c r="U182" s="146"/>
    </row>
    <row r="183" spans="1:21" s="9" customFormat="1" ht="15" customHeight="1" x14ac:dyDescent="0.2">
      <c r="A183" s="11"/>
      <c r="B183" s="5"/>
      <c r="C183" s="519"/>
      <c r="D183" s="83" t="str">
        <f>Input!D91</f>
        <v xml:space="preserve">  Annual expected evolution of conventional diesel 18 m bus price until 2030 [%]</v>
      </c>
      <c r="E183" s="348">
        <f>Input!E91</f>
        <v>8.9999999999999993E-3</v>
      </c>
      <c r="F183" s="227"/>
      <c r="G183" s="147"/>
      <c r="H183" s="146"/>
      <c r="I183" s="146"/>
      <c r="J183" s="146"/>
      <c r="K183" s="146"/>
      <c r="L183" s="146"/>
      <c r="M183" s="146"/>
      <c r="N183" s="146"/>
      <c r="O183" s="146"/>
      <c r="P183" s="146"/>
      <c r="Q183" s="146"/>
      <c r="R183" s="146"/>
      <c r="S183" s="146"/>
      <c r="T183" s="146"/>
      <c r="U183" s="146"/>
    </row>
    <row r="184" spans="1:21" s="9" customFormat="1" ht="15" customHeight="1" x14ac:dyDescent="0.2">
      <c r="A184" s="11"/>
      <c r="B184" s="5"/>
      <c r="C184" s="519"/>
      <c r="D184" s="83" t="str">
        <f>Input!D92</f>
        <v xml:space="preserve">  Current fuel consumption of diesel 12 - 13.5 m buses [liters/ 100 km]</v>
      </c>
      <c r="E184" s="430">
        <f>Input!E92</f>
        <v>40</v>
      </c>
      <c r="F184" s="227"/>
      <c r="G184" s="147"/>
      <c r="H184" s="146"/>
      <c r="I184" s="146"/>
      <c r="J184" s="146"/>
      <c r="K184" s="146"/>
      <c r="L184" s="146"/>
      <c r="M184" s="146"/>
      <c r="N184" s="146"/>
      <c r="O184" s="146"/>
      <c r="P184" s="146"/>
      <c r="Q184" s="146"/>
      <c r="R184" s="146"/>
      <c r="S184" s="146"/>
      <c r="T184" s="146"/>
      <c r="U184" s="146"/>
    </row>
    <row r="185" spans="1:21" s="9" customFormat="1" ht="15" customHeight="1" x14ac:dyDescent="0.2">
      <c r="A185" s="11"/>
      <c r="B185" s="5"/>
      <c r="C185" s="519"/>
      <c r="D185" s="83" t="str">
        <f>Input!D93</f>
        <v xml:space="preserve">  Current fuel consumption of diesel 18 m buses [liters/ 100 km]</v>
      </c>
      <c r="E185" s="430">
        <f>Input!E93</f>
        <v>50</v>
      </c>
      <c r="F185" s="227"/>
      <c r="G185" s="147"/>
      <c r="H185" s="146"/>
      <c r="I185" s="146"/>
      <c r="J185" s="146"/>
      <c r="K185" s="146"/>
      <c r="L185" s="146"/>
      <c r="M185" s="146"/>
      <c r="N185" s="146"/>
      <c r="O185" s="146"/>
      <c r="P185" s="146"/>
      <c r="Q185" s="146"/>
      <c r="R185" s="146"/>
      <c r="S185" s="146"/>
      <c r="T185" s="146"/>
      <c r="U185" s="146"/>
    </row>
    <row r="186" spans="1:21" s="9" customFormat="1" ht="15" customHeight="1" x14ac:dyDescent="0.2">
      <c r="A186" s="11"/>
      <c r="B186" s="5"/>
      <c r="C186" s="519"/>
      <c r="D186" s="83" t="str">
        <f>Input!D119</f>
        <v xml:space="preserve">  Price of 1 liter of diesel in 2015 [EUR/ liter]</v>
      </c>
      <c r="E186" s="343">
        <f>Input!E119</f>
        <v>1</v>
      </c>
      <c r="F186" s="227"/>
      <c r="G186" s="147"/>
      <c r="H186" s="146"/>
      <c r="I186" s="146"/>
      <c r="J186" s="146"/>
      <c r="K186" s="146"/>
      <c r="L186" s="146"/>
      <c r="M186" s="146"/>
      <c r="N186" s="146"/>
      <c r="O186" s="146"/>
      <c r="P186" s="146"/>
      <c r="Q186" s="146"/>
      <c r="R186" s="146"/>
      <c r="S186" s="146"/>
      <c r="T186" s="146"/>
      <c r="U186" s="146"/>
    </row>
    <row r="187" spans="1:21" s="9" customFormat="1" ht="15" customHeight="1" x14ac:dyDescent="0.2">
      <c r="A187" s="11"/>
      <c r="B187" s="5"/>
      <c r="C187" s="519"/>
      <c r="D187" s="83" t="str">
        <f>Input!D120</f>
        <v xml:space="preserve">  Annual expected evolution of diesel fuel price until 2030 [%]</v>
      </c>
      <c r="E187" s="344">
        <f>Input!E120</f>
        <v>0.03</v>
      </c>
      <c r="F187" s="227"/>
      <c r="G187" s="147"/>
      <c r="H187" s="146"/>
      <c r="I187" s="146"/>
      <c r="J187" s="146"/>
      <c r="K187" s="146"/>
      <c r="L187" s="146"/>
      <c r="M187" s="146"/>
      <c r="N187" s="146"/>
      <c r="O187" s="146"/>
      <c r="P187" s="146"/>
      <c r="Q187" s="146"/>
      <c r="R187" s="146"/>
      <c r="S187" s="146"/>
      <c r="T187" s="146"/>
      <c r="U187" s="146"/>
    </row>
    <row r="188" spans="1:21" s="9" customFormat="1" ht="15" customHeight="1" x14ac:dyDescent="0.2">
      <c r="A188" s="11"/>
      <c r="B188" s="5"/>
      <c r="C188" s="519"/>
      <c r="D188" s="83" t="str">
        <f>Input!D97</f>
        <v xml:space="preserve">  Maintenance costs 12 - 13.5 m diesel bus in 2015 [EUR/ km]</v>
      </c>
      <c r="E188" s="343">
        <f>Input!E97</f>
        <v>0.26</v>
      </c>
      <c r="F188" s="227"/>
      <c r="G188" s="147"/>
      <c r="H188" s="146"/>
      <c r="I188" s="146"/>
      <c r="J188" s="146"/>
      <c r="K188" s="146"/>
      <c r="L188" s="146"/>
      <c r="M188" s="146"/>
      <c r="N188" s="146"/>
      <c r="O188" s="146"/>
      <c r="P188" s="146"/>
      <c r="Q188" s="146"/>
      <c r="R188" s="146"/>
      <c r="S188" s="146"/>
      <c r="T188" s="146"/>
      <c r="U188" s="146"/>
    </row>
    <row r="189" spans="1:21" s="9" customFormat="1" ht="15" customHeight="1" x14ac:dyDescent="0.2">
      <c r="A189" s="11"/>
      <c r="B189" s="5"/>
      <c r="C189" s="519"/>
      <c r="D189" s="83" t="str">
        <f>Input!D98</f>
        <v xml:space="preserve">  Maintenance costs 18 m diesel bus in 2015 [EUR/ km]</v>
      </c>
      <c r="E189" s="343">
        <f>Input!E98</f>
        <v>0.39</v>
      </c>
      <c r="F189" s="227"/>
      <c r="G189" s="147"/>
      <c r="H189" s="146"/>
      <c r="I189" s="146"/>
      <c r="J189" s="146"/>
      <c r="K189" s="146"/>
      <c r="L189" s="146"/>
      <c r="M189" s="146"/>
      <c r="N189" s="146"/>
      <c r="O189" s="146"/>
      <c r="P189" s="146"/>
      <c r="Q189" s="146"/>
      <c r="R189" s="146"/>
      <c r="S189" s="146"/>
      <c r="T189" s="146"/>
      <c r="U189" s="146"/>
    </row>
    <row r="190" spans="1:21" ht="15" customHeight="1" x14ac:dyDescent="0.2">
      <c r="D190" s="83" t="str">
        <f>Input!D99</f>
        <v xml:space="preserve">  Annual expected evolution of maintenance costs until 2030 [%]</v>
      </c>
      <c r="E190" s="135">
        <f>Input!E99</f>
        <v>0.01</v>
      </c>
    </row>
    <row r="191" spans="1:21" s="9" customFormat="1" ht="15" customHeight="1" x14ac:dyDescent="0.2">
      <c r="A191" s="11"/>
      <c r="B191" s="5"/>
      <c r="C191" s="519"/>
      <c r="D191" s="83" t="str">
        <f>Input!D100</f>
        <v xml:space="preserve">  Number of planned maintenance days [#]</v>
      </c>
      <c r="E191" s="498">
        <f>Input!E100</f>
        <v>5</v>
      </c>
      <c r="F191" s="503"/>
      <c r="G191" s="7"/>
      <c r="H191" s="505"/>
      <c r="I191" s="7"/>
      <c r="J191" s="7"/>
      <c r="K191" s="7"/>
      <c r="L191" s="7"/>
      <c r="M191" s="7"/>
      <c r="N191" s="7"/>
      <c r="O191" s="7"/>
      <c r="P191" s="7"/>
      <c r="Q191" s="7"/>
      <c r="R191" s="7"/>
      <c r="S191" s="7"/>
      <c r="T191" s="7"/>
      <c r="U191" s="7"/>
    </row>
    <row r="192" spans="1:21" s="9" customFormat="1" ht="15" customHeight="1" thickBot="1" x14ac:dyDescent="0.25">
      <c r="A192" s="11"/>
      <c r="B192" s="5"/>
      <c r="C192" s="519"/>
      <c r="D192" s="76" t="str">
        <f>Input!D102</f>
        <v xml:space="preserve">  Annual distance traveled [km]</v>
      </c>
      <c r="E192" s="500">
        <f>Input!E102</f>
        <v>68000</v>
      </c>
      <c r="F192" s="28"/>
      <c r="G192" s="506"/>
      <c r="H192" s="28"/>
      <c r="I192" s="506"/>
      <c r="J192" s="360"/>
      <c r="K192" s="28"/>
      <c r="L192" s="28"/>
      <c r="M192" s="28"/>
      <c r="N192" s="28"/>
      <c r="O192" s="28"/>
      <c r="P192" s="28"/>
      <c r="Q192" s="28"/>
      <c r="R192" s="28"/>
      <c r="S192" s="28"/>
      <c r="T192" s="28"/>
      <c r="U192" s="28"/>
    </row>
    <row r="193" spans="1:22" s="29" customFormat="1" ht="7.9" customHeight="1" thickBot="1" x14ac:dyDescent="0.25">
      <c r="A193" s="23"/>
      <c r="B193" s="24"/>
      <c r="C193" s="519"/>
      <c r="E193" s="118"/>
      <c r="F193" s="105"/>
      <c r="G193" s="19"/>
      <c r="H193" s="19"/>
      <c r="I193" s="19"/>
      <c r="J193" s="19"/>
      <c r="K193" s="19"/>
      <c r="L193" s="19"/>
      <c r="M193" s="19"/>
      <c r="N193" s="19"/>
      <c r="O193" s="19"/>
      <c r="P193" s="19"/>
      <c r="Q193" s="19"/>
      <c r="R193" s="19"/>
      <c r="S193" s="19"/>
      <c r="T193" s="19"/>
      <c r="U193" s="19"/>
    </row>
    <row r="194" spans="1:22" s="9" customFormat="1" ht="15" customHeight="1" x14ac:dyDescent="0.2">
      <c r="A194" s="11"/>
      <c r="B194" s="5"/>
      <c r="C194" s="519"/>
      <c r="D194" s="84" t="str">
        <f>Input!D105</f>
        <v xml:space="preserve">  Diesel infrastructure purchasing price [EUR]</v>
      </c>
      <c r="E194" s="282">
        <f>Input!E105</f>
        <v>345000</v>
      </c>
      <c r="F194" s="28"/>
      <c r="G194" s="28"/>
      <c r="H194" s="28"/>
      <c r="I194" s="28"/>
      <c r="J194" s="28"/>
      <c r="K194" s="28"/>
      <c r="L194" s="28"/>
      <c r="M194" s="28"/>
      <c r="N194" s="28"/>
      <c r="O194" s="28"/>
      <c r="P194" s="28"/>
      <c r="Q194" s="28"/>
      <c r="R194" s="28"/>
      <c r="S194" s="28"/>
      <c r="T194" s="28"/>
      <c r="U194" s="28"/>
    </row>
    <row r="195" spans="1:22" s="9" customFormat="1" ht="15" customHeight="1" x14ac:dyDescent="0.2">
      <c r="A195" s="11"/>
      <c r="B195" s="5"/>
      <c r="C195" s="519"/>
      <c r="D195" s="83" t="str">
        <f>Input!D106</f>
        <v xml:space="preserve">  Yearly maintenance and operating costs [EUR]</v>
      </c>
      <c r="E195" s="88">
        <f>Input!E106</f>
        <v>128000</v>
      </c>
      <c r="F195" s="28"/>
      <c r="G195" s="28"/>
      <c r="H195" s="28"/>
      <c r="I195" s="28"/>
      <c r="J195" s="28"/>
      <c r="K195" s="28"/>
      <c r="L195" s="28"/>
      <c r="M195" s="28"/>
      <c r="N195" s="28"/>
      <c r="O195" s="28"/>
      <c r="P195" s="28"/>
      <c r="Q195" s="28"/>
      <c r="R195" s="28"/>
      <c r="S195" s="28"/>
      <c r="T195" s="28"/>
      <c r="U195" s="28"/>
    </row>
    <row r="196" spans="1:22" s="9" customFormat="1" ht="15" customHeight="1" x14ac:dyDescent="0.2">
      <c r="A196" s="11"/>
      <c r="B196" s="5"/>
      <c r="C196" s="519"/>
      <c r="D196" s="83" t="str">
        <f>Input!D107</f>
        <v xml:space="preserve">  Annual expected evolution of maintenance and operating costs [%]</v>
      </c>
      <c r="E196" s="344">
        <f>Input!E107</f>
        <v>1.2E-2</v>
      </c>
      <c r="F196" s="28"/>
      <c r="G196" s="28"/>
      <c r="H196" s="28"/>
      <c r="I196" s="28"/>
      <c r="J196" s="28"/>
      <c r="K196" s="28"/>
      <c r="L196" s="28"/>
      <c r="M196" s="28"/>
      <c r="N196" s="28"/>
      <c r="O196" s="28"/>
      <c r="P196" s="28"/>
      <c r="Q196" s="28"/>
      <c r="R196" s="28"/>
      <c r="S196" s="28"/>
      <c r="T196" s="28"/>
      <c r="U196" s="28"/>
    </row>
    <row r="197" spans="1:22" s="9" customFormat="1" ht="15" customHeight="1" thickBot="1" x14ac:dyDescent="0.25">
      <c r="A197" s="11"/>
      <c r="B197" s="5"/>
      <c r="C197" s="519"/>
      <c r="D197" s="76" t="str">
        <f>Input!D108</f>
        <v xml:space="preserve">  Number of diesel buses considered for the infrastructure [#] </v>
      </c>
      <c r="E197" s="89">
        <f>Input!E108</f>
        <v>100</v>
      </c>
      <c r="F197" s="360"/>
      <c r="G197" s="28"/>
      <c r="H197" s="28"/>
      <c r="I197" s="28"/>
      <c r="J197" s="28"/>
      <c r="K197" s="28"/>
      <c r="L197" s="28"/>
      <c r="M197" s="28"/>
      <c r="N197" s="28"/>
      <c r="O197" s="28"/>
      <c r="P197" s="28"/>
      <c r="Q197" s="28"/>
      <c r="R197" s="28"/>
      <c r="S197" s="28"/>
      <c r="T197" s="28"/>
      <c r="U197" s="28"/>
    </row>
    <row r="198" spans="1:22" s="37" customFormat="1" ht="27.6" customHeight="1" x14ac:dyDescent="0.2">
      <c r="A198" s="114"/>
      <c r="B198" s="115"/>
      <c r="C198" s="519"/>
      <c r="D198" s="497"/>
      <c r="E198" s="116"/>
      <c r="F198" s="496">
        <v>2015</v>
      </c>
      <c r="G198" s="496">
        <f t="shared" ref="G198" si="131">F198+1</f>
        <v>2016</v>
      </c>
      <c r="H198" s="496">
        <f t="shared" ref="H198" si="132">G198+1</f>
        <v>2017</v>
      </c>
      <c r="I198" s="496">
        <f t="shared" ref="I198" si="133">H198+1</f>
        <v>2018</v>
      </c>
      <c r="J198" s="496">
        <f t="shared" ref="J198" si="134">I198+1</f>
        <v>2019</v>
      </c>
      <c r="K198" s="496">
        <f t="shared" ref="K198" si="135">J198+1</f>
        <v>2020</v>
      </c>
      <c r="L198" s="496">
        <f t="shared" ref="L198" si="136">K198+1</f>
        <v>2021</v>
      </c>
      <c r="M198" s="496">
        <f t="shared" ref="M198" si="137">L198+1</f>
        <v>2022</v>
      </c>
      <c r="N198" s="496">
        <f t="shared" ref="N198" si="138">M198+1</f>
        <v>2023</v>
      </c>
      <c r="O198" s="496">
        <f t="shared" ref="O198" si="139">N198+1</f>
        <v>2024</v>
      </c>
      <c r="P198" s="496">
        <f t="shared" ref="P198" si="140">O198+1</f>
        <v>2025</v>
      </c>
      <c r="Q198" s="496">
        <f t="shared" ref="Q198" si="141">P198+1</f>
        <v>2026</v>
      </c>
      <c r="R198" s="496">
        <f t="shared" ref="R198" si="142">Q198+1</f>
        <v>2027</v>
      </c>
      <c r="S198" s="496">
        <f t="shared" ref="S198" si="143">R198+1</f>
        <v>2028</v>
      </c>
      <c r="T198" s="496">
        <f t="shared" ref="T198" si="144">S198+1</f>
        <v>2029</v>
      </c>
      <c r="U198" s="496">
        <f t="shared" ref="U198" si="145">T198+1</f>
        <v>2030</v>
      </c>
    </row>
    <row r="199" spans="1:22" s="9" customFormat="1" ht="19.899999999999999" customHeight="1" x14ac:dyDescent="0.2">
      <c r="A199" s="11"/>
      <c r="B199" s="5"/>
      <c r="C199" s="519"/>
      <c r="D199" s="336" t="s">
        <v>189</v>
      </c>
      <c r="E199" s="336"/>
      <c r="F199" s="337">
        <f t="shared" ref="F199:U199" si="146">(F200+F223)/$E$192</f>
        <v>2.3401759701095806</v>
      </c>
      <c r="G199" s="337">
        <f t="shared" si="146"/>
        <v>2.3781567642962629</v>
      </c>
      <c r="H199" s="337">
        <f t="shared" si="146"/>
        <v>2.4168695351363523</v>
      </c>
      <c r="I199" s="337">
        <f t="shared" si="146"/>
        <v>2.4563291205354836</v>
      </c>
      <c r="J199" s="337">
        <f t="shared" si="146"/>
        <v>2.4965506648804268</v>
      </c>
      <c r="K199" s="337">
        <f t="shared" si="146"/>
        <v>2.5375496254315615</v>
      </c>
      <c r="L199" s="337">
        <f t="shared" si="146"/>
        <v>2.5793417788495603</v>
      </c>
      <c r="M199" s="337">
        <f t="shared" si="146"/>
        <v>2.6219432278591199</v>
      </c>
      <c r="N199" s="337">
        <f t="shared" si="146"/>
        <v>2.6653704080526306</v>
      </c>
      <c r="O199" s="337">
        <f t="shared" si="146"/>
        <v>2.7096400948367365</v>
      </c>
      <c r="P199" s="337">
        <f t="shared" si="146"/>
        <v>2.7547694105247973</v>
      </c>
      <c r="Q199" s="337">
        <f t="shared" si="146"/>
        <v>2.8007758315783509</v>
      </c>
      <c r="R199" s="337">
        <f t="shared" si="146"/>
        <v>2.8476771960007028</v>
      </c>
      <c r="S199" s="337">
        <f t="shared" si="146"/>
        <v>2.8954917108858638</v>
      </c>
      <c r="T199" s="337">
        <f t="shared" si="146"/>
        <v>2.9442379601261206</v>
      </c>
      <c r="U199" s="337">
        <f t="shared" si="146"/>
        <v>2.993934912281583</v>
      </c>
    </row>
    <row r="200" spans="1:22" s="9" customFormat="1" ht="19.899999999999999" customHeight="1" x14ac:dyDescent="0.2">
      <c r="A200" s="11"/>
      <c r="B200" s="5"/>
      <c r="C200" s="519"/>
      <c r="D200" s="336" t="s">
        <v>190</v>
      </c>
      <c r="E200" s="336"/>
      <c r="F200" s="338">
        <f>F201+F203+F205+F208+F206+IF(Input!$J$12="Yes",'Cost analysis'!F209,0)+IF(Input!$M$12="Yes",'Cost analysis'!F210,0)</f>
        <v>157526.31037363724</v>
      </c>
      <c r="G200" s="338">
        <f>G201+G203+G205+G208+G206+IF(Input!$J$12="Yes",'Cost analysis'!G209,0)+IF(Input!$M$12="Yes",'Cost analysis'!G210,0)</f>
        <v>160093.64437833164</v>
      </c>
      <c r="H200" s="338">
        <f>H201+H203+H205+H208+H206+IF(Input!$J$12="Yes",'Cost analysis'!H209,0)+IF(Input!$M$12="Yes",'Cost analysis'!H210,0)</f>
        <v>162710.56847545772</v>
      </c>
      <c r="I200" s="338">
        <f>I201+I203+I205+I208+I206+IF(Input!$J$12="Yes",'Cost analysis'!I209,0)+IF(Input!$M$12="Yes",'Cost analysis'!I210,0)</f>
        <v>165378.08943075864</v>
      </c>
      <c r="J200" s="338">
        <f>J201+J203+J205+J208+J206+IF(Input!$J$12="Yes",'Cost analysis'!J209,0)+IF(Input!$M$12="Yes",'Cost analysis'!J210,0)</f>
        <v>168097.23482415272</v>
      </c>
      <c r="K200" s="338">
        <f>K201+K203+K205+K208+K206+IF(Input!$J$12="Yes",'Cost analysis'!K209,0)+IF(Input!$M$12="Yes",'Cost analysis'!K210,0)</f>
        <v>170869.05348410306</v>
      </c>
      <c r="L200" s="338">
        <f>L201+L203+L205+L208+L206+IF(Input!$J$12="Yes",'Cost analysis'!L209,0)+IF(Input!$M$12="Yes",'Cost analysis'!L210,0)</f>
        <v>173694.61593110982</v>
      </c>
      <c r="M200" s="338">
        <f>M201+M203+M205+M208+M206+IF(Input!$J$12="Yes",'Cost analysis'!M209,0)+IF(Input!$M$12="Yes",'Cost analysis'!M210,0)</f>
        <v>176575.0148305177</v>
      </c>
      <c r="N200" s="338">
        <f>N201+N203+N205+N208+N206+IF(Input!$J$12="Yes",'Cost analysis'!N209,0)+IF(Input!$M$12="Yes",'Cost analysis'!N210,0)</f>
        <v>179511.36545483541</v>
      </c>
      <c r="O200" s="338">
        <f>O201+O203+O205+O208+O206+IF(Input!$J$12="Yes",'Cost analysis'!O209,0)+IF(Input!$M$12="Yes",'Cost analysis'!O210,0)</f>
        <v>182504.80615576744</v>
      </c>
      <c r="P200" s="338">
        <f>P201+P203+P205+P208+P206+IF(Input!$J$12="Yes",'Cost analysis'!P209,0)+IF(Input!$M$12="Yes",'Cost analysis'!P210,0)</f>
        <v>185556.49884616377</v>
      </c>
      <c r="Q200" s="338">
        <f>Q201+Q203+Q205+Q208+Q206+IF(Input!$J$12="Yes",'Cost analysis'!Q209,0)+IF(Input!$M$12="Yes",'Cost analysis'!Q210,0)</f>
        <v>188667.62949209692</v>
      </c>
      <c r="R200" s="338">
        <f>R201+R203+R205+R208+R206+IF(Input!$J$12="Yes",'Cost analysis'!R209,0)+IF(Input!$M$12="Yes",'Cost analysis'!R210,0)</f>
        <v>191839.40861527983</v>
      </c>
      <c r="S200" s="338">
        <f>S201+S203+S205+S208+S206+IF(Input!$J$12="Yes",'Cost analysis'!S209,0)+IF(Input!$M$12="Yes",'Cost analysis'!S210,0)</f>
        <v>195073.07180604333</v>
      </c>
      <c r="T200" s="338">
        <f>T201+T203+T205+T208+T206+IF(Input!$J$12="Yes",'Cost analysis'!T209,0)+IF(Input!$M$12="Yes",'Cost analysis'!T210,0)</f>
        <v>198369.88024709624</v>
      </c>
      <c r="U200" s="338">
        <f>U201+U203+U205+U208+U206+IF(Input!$J$12="Yes",'Cost analysis'!U209,0)+IF(Input!$M$12="Yes",'Cost analysis'!U210,0)</f>
        <v>201731.12124829571</v>
      </c>
    </row>
    <row r="201" spans="1:22" s="9" customFormat="1" ht="19.899999999999999" customHeight="1" x14ac:dyDescent="0.2">
      <c r="A201" s="11"/>
      <c r="B201" s="5"/>
      <c r="C201" s="519"/>
      <c r="D201" s="339" t="s">
        <v>82</v>
      </c>
      <c r="E201" s="339"/>
      <c r="F201" s="340">
        <f t="shared" ref="F201:U201" si="147">F202/$E$9</f>
        <v>19291.666666666668</v>
      </c>
      <c r="G201" s="340">
        <f t="shared" si="147"/>
        <v>19359.1875</v>
      </c>
      <c r="H201" s="340">
        <f t="shared" si="147"/>
        <v>19426.944656250002</v>
      </c>
      <c r="I201" s="340">
        <f t="shared" si="147"/>
        <v>19494.938962546879</v>
      </c>
      <c r="J201" s="340">
        <f t="shared" si="147"/>
        <v>19563.171248915791</v>
      </c>
      <c r="K201" s="340">
        <f t="shared" si="147"/>
        <v>19631.642348286998</v>
      </c>
      <c r="L201" s="340">
        <f t="shared" si="147"/>
        <v>19700.353096506002</v>
      </c>
      <c r="M201" s="340">
        <f t="shared" si="147"/>
        <v>19769.304332343778</v>
      </c>
      <c r="N201" s="340">
        <f t="shared" si="147"/>
        <v>19838.496897506979</v>
      </c>
      <c r="O201" s="340">
        <f t="shared" si="147"/>
        <v>19907.931636648253</v>
      </c>
      <c r="P201" s="340">
        <f t="shared" si="147"/>
        <v>19977.60939737652</v>
      </c>
      <c r="Q201" s="340">
        <f t="shared" si="147"/>
        <v>20047.531030267342</v>
      </c>
      <c r="R201" s="340">
        <f t="shared" si="147"/>
        <v>20117.697388873279</v>
      </c>
      <c r="S201" s="340">
        <f t="shared" si="147"/>
        <v>20188.109329734332</v>
      </c>
      <c r="T201" s="340">
        <f t="shared" si="147"/>
        <v>20258.76771238841</v>
      </c>
      <c r="U201" s="340">
        <f t="shared" si="147"/>
        <v>20329.673399381769</v>
      </c>
    </row>
    <row r="202" spans="1:22" s="177" customFormat="1" ht="19.899999999999999" customHeight="1" x14ac:dyDescent="0.2">
      <c r="A202" s="173"/>
      <c r="B202" s="174"/>
      <c r="C202" s="519"/>
      <c r="D202" s="341" t="s">
        <v>191</v>
      </c>
      <c r="E202" s="341"/>
      <c r="F202" s="345">
        <f t="shared" ref="F202:U202" si="148">$E$180*(1+$E$181)^(F198-$F$198)</f>
        <v>231500</v>
      </c>
      <c r="G202" s="345">
        <f t="shared" si="148"/>
        <v>232310.25</v>
      </c>
      <c r="H202" s="345">
        <f t="shared" si="148"/>
        <v>233123.33587500002</v>
      </c>
      <c r="I202" s="345">
        <f t="shared" si="148"/>
        <v>233939.26755056254</v>
      </c>
      <c r="J202" s="345">
        <f t="shared" si="148"/>
        <v>234758.0549869895</v>
      </c>
      <c r="K202" s="345">
        <f t="shared" si="148"/>
        <v>235579.70817944396</v>
      </c>
      <c r="L202" s="345">
        <f t="shared" si="148"/>
        <v>236404.23715807204</v>
      </c>
      <c r="M202" s="345">
        <f t="shared" si="148"/>
        <v>237231.65198812532</v>
      </c>
      <c r="N202" s="345">
        <f t="shared" si="148"/>
        <v>238061.96277008374</v>
      </c>
      <c r="O202" s="345">
        <f t="shared" si="148"/>
        <v>238895.17963977903</v>
      </c>
      <c r="P202" s="345">
        <f t="shared" si="148"/>
        <v>239731.31276851826</v>
      </c>
      <c r="Q202" s="345">
        <f t="shared" si="148"/>
        <v>240570.37236320812</v>
      </c>
      <c r="R202" s="345">
        <f t="shared" si="148"/>
        <v>241412.36866647933</v>
      </c>
      <c r="S202" s="345">
        <f t="shared" si="148"/>
        <v>242257.31195681199</v>
      </c>
      <c r="T202" s="345">
        <f t="shared" si="148"/>
        <v>243105.2125486609</v>
      </c>
      <c r="U202" s="345">
        <f t="shared" si="148"/>
        <v>243956.08079258123</v>
      </c>
      <c r="V202" s="9"/>
    </row>
    <row r="203" spans="1:22" s="9" customFormat="1" ht="19.899999999999999" customHeight="1" x14ac:dyDescent="0.2">
      <c r="A203" s="11"/>
      <c r="B203" s="5"/>
      <c r="C203" s="519"/>
      <c r="D203" s="339" t="s">
        <v>83</v>
      </c>
      <c r="E203" s="342"/>
      <c r="F203" s="340">
        <f>F204*'Environmental analysis'!F62*$E$192/100</f>
        <v>27200</v>
      </c>
      <c r="G203" s="340">
        <f>G204*'Environmental analysis'!G62*$E$192/100</f>
        <v>27818.521918386668</v>
      </c>
      <c r="H203" s="340">
        <f>H204*'Environmental analysis'!H62*$E$192/100</f>
        <v>28451.108886902923</v>
      </c>
      <c r="I203" s="340">
        <f>I204*'Environmental analysis'!I62*$E$192/100</f>
        <v>29098.080741643924</v>
      </c>
      <c r="J203" s="340">
        <f>J204*'Environmental analysis'!J62*$E$192/100</f>
        <v>29759.76459170612</v>
      </c>
      <c r="K203" s="340">
        <f>K204*'Environmental analysis'!K62*$E$192/100</f>
        <v>30436.494984573688</v>
      </c>
      <c r="L203" s="340">
        <f>L204*'Environmental analysis'!L62*$E$192/100</f>
        <v>31128.614075265774</v>
      </c>
      <c r="M203" s="340">
        <f>M204*'Environmental analysis'!M62*$E$192/100</f>
        <v>31836.471799330182</v>
      </c>
      <c r="N203" s="340">
        <f>N204*'Environmental analysis'!N62*$E$192/100</f>
        <v>32560.426049770787</v>
      </c>
      <c r="O203" s="340">
        <f>O204*'Environmental analysis'!O62*$E$192/100</f>
        <v>33300.842857998417</v>
      </c>
      <c r="P203" s="340">
        <f>P204*'Environmental analysis'!P62*$E$192/100</f>
        <v>34058.0965788963</v>
      </c>
      <c r="Q203" s="340">
        <f>Q204*'Environmental analysis'!Q62*$E$192/100</f>
        <v>34832.570080093996</v>
      </c>
      <c r="R203" s="340">
        <f>R204*'Environmental analysis'!R62*$E$192/100</f>
        <v>35624.654935545375</v>
      </c>
      <c r="S203" s="340">
        <f>S204*'Environmental analysis'!S62*$E$192/100</f>
        <v>36434.751623508491</v>
      </c>
      <c r="T203" s="340">
        <f>T204*'Environmental analysis'!T62*$E$192/100</f>
        <v>37263.269729027408</v>
      </c>
      <c r="U203" s="340">
        <f>U204*'Environmental analysis'!U62*$E$192/100</f>
        <v>38110.628151018507</v>
      </c>
      <c r="V203" s="177"/>
    </row>
    <row r="204" spans="1:22" s="9" customFormat="1" ht="19.899999999999999" customHeight="1" x14ac:dyDescent="0.2">
      <c r="A204" s="11"/>
      <c r="B204" s="5"/>
      <c r="C204" s="519"/>
      <c r="D204" s="341" t="s">
        <v>192</v>
      </c>
      <c r="E204" s="342"/>
      <c r="F204" s="346">
        <f t="shared" ref="F204:U204" si="149">$E$186*(1+$E$187)^(F198-$F$198)</f>
        <v>1</v>
      </c>
      <c r="G204" s="346">
        <f t="shared" si="149"/>
        <v>1.03</v>
      </c>
      <c r="H204" s="346">
        <f t="shared" si="149"/>
        <v>1.0609</v>
      </c>
      <c r="I204" s="346">
        <f t="shared" si="149"/>
        <v>1.092727</v>
      </c>
      <c r="J204" s="346">
        <f t="shared" si="149"/>
        <v>1.1255088099999999</v>
      </c>
      <c r="K204" s="346">
        <f t="shared" si="149"/>
        <v>1.1592740742999998</v>
      </c>
      <c r="L204" s="346">
        <f t="shared" si="149"/>
        <v>1.1940522965289999</v>
      </c>
      <c r="M204" s="346">
        <f t="shared" si="149"/>
        <v>1.22987386542487</v>
      </c>
      <c r="N204" s="346">
        <f t="shared" si="149"/>
        <v>1.2667700813876159</v>
      </c>
      <c r="O204" s="346">
        <f t="shared" si="149"/>
        <v>1.3047731838292445</v>
      </c>
      <c r="P204" s="346">
        <f t="shared" si="149"/>
        <v>1.3439163793441218</v>
      </c>
      <c r="Q204" s="346">
        <f t="shared" si="149"/>
        <v>1.3842338707244455</v>
      </c>
      <c r="R204" s="346">
        <f t="shared" si="149"/>
        <v>1.4257608868461786</v>
      </c>
      <c r="S204" s="346">
        <f t="shared" si="149"/>
        <v>1.4685337134515639</v>
      </c>
      <c r="T204" s="346">
        <f t="shared" si="149"/>
        <v>1.512589724855111</v>
      </c>
      <c r="U204" s="346">
        <f t="shared" si="149"/>
        <v>1.5579674166007644</v>
      </c>
    </row>
    <row r="205" spans="1:22" s="9" customFormat="1" ht="19.899999999999999" customHeight="1" x14ac:dyDescent="0.2">
      <c r="A205" s="11"/>
      <c r="B205" s="5"/>
      <c r="C205" s="519"/>
      <c r="D205" s="339" t="s">
        <v>193</v>
      </c>
      <c r="E205" s="342"/>
      <c r="F205" s="340">
        <f t="shared" ref="F205:U205" si="150">$E$188*(1+$E$190)^(F198-$F$198)*$E$192</f>
        <v>17680</v>
      </c>
      <c r="G205" s="340">
        <f t="shared" si="150"/>
        <v>17856.8</v>
      </c>
      <c r="H205" s="340">
        <f t="shared" si="150"/>
        <v>18035.368000000002</v>
      </c>
      <c r="I205" s="340">
        <f t="shared" si="150"/>
        <v>18215.721679999999</v>
      </c>
      <c r="J205" s="340">
        <f t="shared" si="150"/>
        <v>18397.878896800001</v>
      </c>
      <c r="K205" s="340">
        <f t="shared" si="150"/>
        <v>18581.857685767998</v>
      </c>
      <c r="L205" s="340">
        <f t="shared" si="150"/>
        <v>18767.676262625686</v>
      </c>
      <c r="M205" s="340">
        <f t="shared" si="150"/>
        <v>18955.353025251934</v>
      </c>
      <c r="N205" s="340">
        <f t="shared" si="150"/>
        <v>19144.906555504462</v>
      </c>
      <c r="O205" s="340">
        <f t="shared" si="150"/>
        <v>19336.355621059505</v>
      </c>
      <c r="P205" s="340">
        <f t="shared" si="150"/>
        <v>19529.719177270097</v>
      </c>
      <c r="Q205" s="340">
        <f t="shared" si="150"/>
        <v>19725.016369042798</v>
      </c>
      <c r="R205" s="340">
        <f t="shared" si="150"/>
        <v>19922.266532733229</v>
      </c>
      <c r="S205" s="340">
        <f t="shared" si="150"/>
        <v>20121.489198060557</v>
      </c>
      <c r="T205" s="340">
        <f t="shared" si="150"/>
        <v>20322.704090041167</v>
      </c>
      <c r="U205" s="340">
        <f t="shared" si="150"/>
        <v>20525.931130941575</v>
      </c>
    </row>
    <row r="206" spans="1:22" ht="19.899999999999999" customHeight="1" x14ac:dyDescent="0.2">
      <c r="D206" s="339" t="s">
        <v>382</v>
      </c>
      <c r="E206" s="342"/>
      <c r="F206" s="340">
        <f t="shared" ref="F206:U206" si="151">($E$17*(1+$E$18)^(F198-$F$198))+F207</f>
        <v>83500</v>
      </c>
      <c r="G206" s="340">
        <f t="shared" si="151"/>
        <v>85170</v>
      </c>
      <c r="H206" s="340">
        <f t="shared" si="151"/>
        <v>86873.4</v>
      </c>
      <c r="I206" s="340">
        <f t="shared" si="151"/>
        <v>88610.868000000002</v>
      </c>
      <c r="J206" s="340">
        <f t="shared" si="151"/>
        <v>90383.085359999997</v>
      </c>
      <c r="K206" s="340">
        <f t="shared" si="151"/>
        <v>92190.747067200005</v>
      </c>
      <c r="L206" s="340">
        <f t="shared" si="151"/>
        <v>94034.562008544002</v>
      </c>
      <c r="M206" s="340">
        <f t="shared" si="151"/>
        <v>95915.253248714871</v>
      </c>
      <c r="N206" s="340">
        <f t="shared" si="151"/>
        <v>97833.55831368918</v>
      </c>
      <c r="O206" s="340">
        <f t="shared" si="151"/>
        <v>99790.22947996296</v>
      </c>
      <c r="P206" s="340">
        <f t="shared" si="151"/>
        <v>101786.03406956221</v>
      </c>
      <c r="Q206" s="340">
        <f t="shared" si="151"/>
        <v>103821.75475095343</v>
      </c>
      <c r="R206" s="340">
        <f t="shared" si="151"/>
        <v>105898.18984597253</v>
      </c>
      <c r="S206" s="340">
        <f t="shared" si="151"/>
        <v>108016.15364289196</v>
      </c>
      <c r="T206" s="340">
        <f t="shared" si="151"/>
        <v>110176.47671574983</v>
      </c>
      <c r="U206" s="340">
        <f t="shared" si="151"/>
        <v>112380.00625006479</v>
      </c>
      <c r="V206" s="9"/>
    </row>
    <row r="207" spans="1:22" s="177" customFormat="1" ht="19.899999999999999" customHeight="1" x14ac:dyDescent="0.2">
      <c r="A207" s="173"/>
      <c r="B207" s="174"/>
      <c r="C207" s="519"/>
      <c r="D207" s="341" t="s">
        <v>196</v>
      </c>
      <c r="E207" s="347"/>
      <c r="F207" s="345">
        <f t="shared" ref="F207:U207" si="152">$E$19*(1+$E$21)^(F198-$F$198)</f>
        <v>3500</v>
      </c>
      <c r="G207" s="345">
        <f t="shared" si="152"/>
        <v>3570</v>
      </c>
      <c r="H207" s="345">
        <f t="shared" si="152"/>
        <v>3641.4</v>
      </c>
      <c r="I207" s="345">
        <f t="shared" si="152"/>
        <v>3714.2279999999996</v>
      </c>
      <c r="J207" s="345">
        <f t="shared" si="152"/>
        <v>3788.5125600000001</v>
      </c>
      <c r="K207" s="345">
        <f t="shared" si="152"/>
        <v>3864.2828112000002</v>
      </c>
      <c r="L207" s="345">
        <f t="shared" si="152"/>
        <v>3941.5684674240001</v>
      </c>
      <c r="M207" s="345">
        <f t="shared" si="152"/>
        <v>4020.3998367724794</v>
      </c>
      <c r="N207" s="345">
        <f t="shared" si="152"/>
        <v>4100.807833507929</v>
      </c>
      <c r="O207" s="345">
        <f t="shared" si="152"/>
        <v>4182.823990178088</v>
      </c>
      <c r="P207" s="345">
        <f t="shared" si="152"/>
        <v>4266.4804699816495</v>
      </c>
      <c r="Q207" s="345">
        <f t="shared" si="152"/>
        <v>4351.8100793812819</v>
      </c>
      <c r="R207" s="345">
        <f t="shared" si="152"/>
        <v>4438.8462809689081</v>
      </c>
      <c r="S207" s="345">
        <f t="shared" si="152"/>
        <v>4527.6232065882859</v>
      </c>
      <c r="T207" s="345">
        <f t="shared" si="152"/>
        <v>4618.1756707200529</v>
      </c>
      <c r="U207" s="345">
        <f t="shared" si="152"/>
        <v>4710.5391841344526</v>
      </c>
      <c r="V207" s="9"/>
    </row>
    <row r="208" spans="1:22" ht="19.899999999999999" customHeight="1" x14ac:dyDescent="0.2">
      <c r="D208" s="339" t="s">
        <v>89</v>
      </c>
      <c r="E208" s="342"/>
      <c r="F208" s="340">
        <f t="shared" ref="F208:U208" si="153">((F202*$E$23*(1+$E$23)^$E$9))/((1+$E$23)^$E$9-1)-F201</f>
        <v>9854.6437069705717</v>
      </c>
      <c r="G208" s="340">
        <f t="shared" si="153"/>
        <v>9889.1349599449677</v>
      </c>
      <c r="H208" s="340">
        <f t="shared" si="153"/>
        <v>9923.7469323047808</v>
      </c>
      <c r="I208" s="340">
        <f t="shared" si="153"/>
        <v>9958.4800465678418</v>
      </c>
      <c r="J208" s="340">
        <f t="shared" si="153"/>
        <v>9993.3347267308309</v>
      </c>
      <c r="K208" s="340">
        <f t="shared" si="153"/>
        <v>10028.311398274385</v>
      </c>
      <c r="L208" s="340">
        <f t="shared" si="153"/>
        <v>10063.410488168356</v>
      </c>
      <c r="M208" s="340">
        <f t="shared" si="153"/>
        <v>10098.632424876945</v>
      </c>
      <c r="N208" s="340">
        <f t="shared" si="153"/>
        <v>10133.977638364009</v>
      </c>
      <c r="O208" s="340">
        <f t="shared" si="153"/>
        <v>10169.446560098291</v>
      </c>
      <c r="P208" s="340">
        <f t="shared" si="153"/>
        <v>10205.03962305863</v>
      </c>
      <c r="Q208" s="340">
        <f t="shared" si="153"/>
        <v>10240.757261739338</v>
      </c>
      <c r="R208" s="340">
        <f t="shared" si="153"/>
        <v>10276.59991215542</v>
      </c>
      <c r="S208" s="340">
        <f t="shared" si="153"/>
        <v>10312.568011847972</v>
      </c>
      <c r="T208" s="340">
        <f t="shared" si="153"/>
        <v>10348.661999889435</v>
      </c>
      <c r="U208" s="340">
        <f t="shared" si="153"/>
        <v>10384.882316889052</v>
      </c>
    </row>
    <row r="209" spans="1:21" s="9" customFormat="1" ht="19.899999999999999" customHeight="1" x14ac:dyDescent="0.2">
      <c r="A209" s="11"/>
      <c r="B209" s="5"/>
      <c r="C209" s="519"/>
      <c r="D209" s="339" t="s">
        <v>87</v>
      </c>
      <c r="E209" s="342"/>
      <c r="F209" s="340">
        <f t="shared" ref="F209:U209" si="154">F202*$E$25</f>
        <v>11575</v>
      </c>
      <c r="G209" s="340">
        <f t="shared" si="154"/>
        <v>11615.512500000001</v>
      </c>
      <c r="H209" s="340">
        <f t="shared" si="154"/>
        <v>11656.166793750002</v>
      </c>
      <c r="I209" s="340">
        <f t="shared" si="154"/>
        <v>11696.963377528127</v>
      </c>
      <c r="J209" s="340">
        <f t="shared" si="154"/>
        <v>11737.902749349476</v>
      </c>
      <c r="K209" s="340">
        <f t="shared" si="154"/>
        <v>11778.985408972199</v>
      </c>
      <c r="L209" s="340">
        <f t="shared" si="154"/>
        <v>11820.211857903603</v>
      </c>
      <c r="M209" s="340">
        <f t="shared" si="154"/>
        <v>11861.582599406267</v>
      </c>
      <c r="N209" s="340">
        <f t="shared" si="154"/>
        <v>11903.098138504189</v>
      </c>
      <c r="O209" s="340">
        <f t="shared" si="154"/>
        <v>11944.758981988953</v>
      </c>
      <c r="P209" s="340">
        <f t="shared" si="154"/>
        <v>11986.565638425913</v>
      </c>
      <c r="Q209" s="340">
        <f t="shared" si="154"/>
        <v>12028.518618160408</v>
      </c>
      <c r="R209" s="340">
        <f t="shared" si="154"/>
        <v>12070.618433323967</v>
      </c>
      <c r="S209" s="340">
        <f t="shared" si="154"/>
        <v>12112.8655978406</v>
      </c>
      <c r="T209" s="340">
        <f t="shared" si="154"/>
        <v>12155.260627433046</v>
      </c>
      <c r="U209" s="340">
        <f t="shared" si="154"/>
        <v>12197.804039629062</v>
      </c>
    </row>
    <row r="210" spans="1:21" s="9" customFormat="1" ht="19.899999999999999" customHeight="1" x14ac:dyDescent="0.2">
      <c r="A210" s="11"/>
      <c r="B210" s="5"/>
      <c r="C210" s="519"/>
      <c r="D210" s="339" t="s">
        <v>90</v>
      </c>
      <c r="E210" s="342"/>
      <c r="F210" s="340">
        <f t="shared" ref="F210:U210" si="155">F160+F161+F163</f>
        <v>0</v>
      </c>
      <c r="G210" s="340">
        <f t="shared" si="155"/>
        <v>0</v>
      </c>
      <c r="H210" s="340">
        <f t="shared" si="155"/>
        <v>0</v>
      </c>
      <c r="I210" s="340">
        <f t="shared" si="155"/>
        <v>0</v>
      </c>
      <c r="J210" s="340">
        <f t="shared" si="155"/>
        <v>0</v>
      </c>
      <c r="K210" s="340">
        <f t="shared" si="155"/>
        <v>0</v>
      </c>
      <c r="L210" s="340">
        <f t="shared" si="155"/>
        <v>0</v>
      </c>
      <c r="M210" s="340">
        <f t="shared" si="155"/>
        <v>0</v>
      </c>
      <c r="N210" s="340">
        <f t="shared" si="155"/>
        <v>0</v>
      </c>
      <c r="O210" s="340">
        <f t="shared" si="155"/>
        <v>0</v>
      </c>
      <c r="P210" s="340">
        <f t="shared" si="155"/>
        <v>0</v>
      </c>
      <c r="Q210" s="340">
        <f t="shared" si="155"/>
        <v>0</v>
      </c>
      <c r="R210" s="340">
        <f t="shared" si="155"/>
        <v>0</v>
      </c>
      <c r="S210" s="340">
        <f t="shared" si="155"/>
        <v>0</v>
      </c>
      <c r="T210" s="340">
        <f t="shared" si="155"/>
        <v>0</v>
      </c>
      <c r="U210" s="340">
        <f t="shared" si="155"/>
        <v>0</v>
      </c>
    </row>
    <row r="211" spans="1:21" s="9" customFormat="1" ht="19.899999999999999" customHeight="1" x14ac:dyDescent="0.2">
      <c r="A211" s="11"/>
      <c r="B211" s="5"/>
      <c r="C211" s="519"/>
      <c r="D211" s="336" t="s">
        <v>194</v>
      </c>
      <c r="E211" s="336"/>
      <c r="F211" s="337">
        <f t="shared" ref="F211:U211" si="156">(F212+F223)/$E$192</f>
        <v>2.76304919456889</v>
      </c>
      <c r="G211" s="337">
        <f t="shared" si="156"/>
        <v>2.8087781299323482</v>
      </c>
      <c r="H211" s="337">
        <f t="shared" si="156"/>
        <v>2.855351187788786</v>
      </c>
      <c r="I211" s="337">
        <f t="shared" si="156"/>
        <v>2.9027850000680648</v>
      </c>
      <c r="J211" s="337">
        <f t="shared" si="156"/>
        <v>2.9510965383616985</v>
      </c>
      <c r="K211" s="337">
        <f t="shared" si="156"/>
        <v>3.0003031209959294</v>
      </c>
      <c r="L211" s="337">
        <f t="shared" si="156"/>
        <v>3.0504224202537764</v>
      </c>
      <c r="M211" s="337">
        <f t="shared" si="156"/>
        <v>3.1014724697492047</v>
      </c>
      <c r="N211" s="337">
        <f t="shared" si="156"/>
        <v>3.153471671956654</v>
      </c>
      <c r="O211" s="337">
        <f t="shared" si="156"/>
        <v>3.2064388058992117</v>
      </c>
      <c r="P211" s="337">
        <f t="shared" si="156"/>
        <v>3.2603930349988057</v>
      </c>
      <c r="Q211" s="337">
        <f t="shared" si="156"/>
        <v>3.3153539150918592</v>
      </c>
      <c r="R211" s="337">
        <f t="shared" si="156"/>
        <v>3.3713414026139121</v>
      </c>
      <c r="S211" s="337">
        <f t="shared" si="156"/>
        <v>3.4283758629567962</v>
      </c>
      <c r="T211" s="337">
        <f t="shared" si="156"/>
        <v>3.4864780790020449</v>
      </c>
      <c r="U211" s="337">
        <f t="shared" si="156"/>
        <v>3.5456692598342561</v>
      </c>
    </row>
    <row r="212" spans="1:21" s="9" customFormat="1" ht="19.899999999999999" customHeight="1" x14ac:dyDescent="0.2">
      <c r="A212" s="11"/>
      <c r="B212" s="5"/>
      <c r="C212" s="519"/>
      <c r="D212" s="336" t="s">
        <v>195</v>
      </c>
      <c r="E212" s="336"/>
      <c r="F212" s="338">
        <f>F213+F215+F217+F220+F218+IF(Input!$J$12="Yes",'Cost analysis'!F221,0)+IF(Input!$M$12="Yes",'Cost analysis'!F222,0)</f>
        <v>186281.68963687029</v>
      </c>
      <c r="G212" s="338">
        <f>G213+G215+G217+G220+G218+IF(Input!$J$12="Yes",'Cost analysis'!G221,0)+IF(Input!$M$12="Yes",'Cost analysis'!G222,0)</f>
        <v>189375.89724158545</v>
      </c>
      <c r="H212" s="338">
        <f>H213+H215+H217+H220+H218+IF(Input!$J$12="Yes",'Cost analysis'!H221,0)+IF(Input!$M$12="Yes",'Cost analysis'!H222,0)</f>
        <v>192527.3208558232</v>
      </c>
      <c r="I212" s="338">
        <f>I213+I215+I217+I220+I218+IF(Input!$J$12="Yes",'Cost analysis'!I221,0)+IF(Input!$M$12="Yes",'Cost analysis'!I222,0)</f>
        <v>195737.08923897418</v>
      </c>
      <c r="J212" s="338">
        <f>J213+J215+J217+J220+J218+IF(Input!$J$12="Yes",'Cost analysis'!J221,0)+IF(Input!$M$12="Yes",'Cost analysis'!J222,0)</f>
        <v>199006.35422087921</v>
      </c>
      <c r="K212" s="338">
        <f>K213+K215+K217+K220+K218+IF(Input!$J$12="Yes",'Cost analysis'!K221,0)+IF(Input!$M$12="Yes",'Cost analysis'!K222,0)</f>
        <v>202336.29118248008</v>
      </c>
      <c r="L212" s="338">
        <f>L213+L215+L217+L220+L218+IF(Input!$J$12="Yes",'Cost analysis'!L221,0)+IF(Input!$M$12="Yes",'Cost analysis'!L222,0)</f>
        <v>205728.09954659652</v>
      </c>
      <c r="M212" s="338">
        <f>M213+M215+M217+M220+M218+IF(Input!$J$12="Yes",'Cost analysis'!M221,0)+IF(Input!$M$12="Yes",'Cost analysis'!M222,0)</f>
        <v>209183.00327904348</v>
      </c>
      <c r="N212" s="338">
        <f>N213+N215+N217+N220+N218+IF(Input!$J$12="Yes",'Cost analysis'!N221,0)+IF(Input!$M$12="Yes",'Cost analysis'!N222,0)</f>
        <v>212702.251400309</v>
      </c>
      <c r="O212" s="338">
        <f>O213+O215+O217+O220+O218+IF(Input!$J$12="Yes",'Cost analysis'!O221,0)+IF(Input!$M$12="Yes",'Cost analysis'!O222,0)</f>
        <v>216287.11850801576</v>
      </c>
      <c r="P212" s="338">
        <f>P213+P215+P217+P220+P218+IF(Input!$J$12="Yes",'Cost analysis'!P221,0)+IF(Input!$M$12="Yes",'Cost analysis'!P222,0)</f>
        <v>219938.90531039634</v>
      </c>
      <c r="Q212" s="338">
        <f>Q213+Q215+Q217+Q220+Q218+IF(Input!$J$12="Yes",'Cost analysis'!Q221,0)+IF(Input!$M$12="Yes",'Cost analysis'!Q222,0)</f>
        <v>223658.93917101549</v>
      </c>
      <c r="R212" s="338">
        <f>R213+R215+R217+R220+R218+IF(Input!$J$12="Yes",'Cost analysis'!R221,0)+IF(Input!$M$12="Yes",'Cost analysis'!R222,0)</f>
        <v>227448.57466497808</v>
      </c>
      <c r="S212" s="338">
        <f>S213+S215+S217+S220+S218+IF(Input!$J$12="Yes",'Cost analysis'!S221,0)+IF(Input!$M$12="Yes",'Cost analysis'!S222,0)</f>
        <v>231309.19414686674</v>
      </c>
      <c r="T212" s="338">
        <f>T213+T215+T217+T220+T218+IF(Input!$J$12="Yes",'Cost analysis'!T221,0)+IF(Input!$M$12="Yes",'Cost analysis'!T222,0)</f>
        <v>235242.20833065911</v>
      </c>
      <c r="U212" s="338">
        <f>U213+U215+U217+U220+U218+IF(Input!$J$12="Yes",'Cost analysis'!U221,0)+IF(Input!$M$12="Yes",'Cost analysis'!U222,0)</f>
        <v>239249.05688187748</v>
      </c>
    </row>
    <row r="213" spans="1:21" s="9" customFormat="1" ht="19.899999999999999" customHeight="1" x14ac:dyDescent="0.2">
      <c r="A213" s="11"/>
      <c r="B213" s="5"/>
      <c r="C213" s="519"/>
      <c r="D213" s="339" t="s">
        <v>82</v>
      </c>
      <c r="E213" s="339"/>
      <c r="F213" s="340">
        <f t="shared" ref="F213:U213" si="157">F214/$E$9</f>
        <v>27641.666666666668</v>
      </c>
      <c r="G213" s="340">
        <f t="shared" si="157"/>
        <v>27890.441666666666</v>
      </c>
      <c r="H213" s="340">
        <f t="shared" si="157"/>
        <v>28141.45564166666</v>
      </c>
      <c r="I213" s="340">
        <f t="shared" si="157"/>
        <v>28394.728742441657</v>
      </c>
      <c r="J213" s="340">
        <f t="shared" si="157"/>
        <v>28650.281301123632</v>
      </c>
      <c r="K213" s="340">
        <f t="shared" si="157"/>
        <v>28908.133832833744</v>
      </c>
      <c r="L213" s="340">
        <f t="shared" si="157"/>
        <v>29168.307037329247</v>
      </c>
      <c r="M213" s="340">
        <f t="shared" si="157"/>
        <v>29430.821800665199</v>
      </c>
      <c r="N213" s="340">
        <f t="shared" si="157"/>
        <v>29695.699196871185</v>
      </c>
      <c r="O213" s="340">
        <f t="shared" si="157"/>
        <v>29962.960489643025</v>
      </c>
      <c r="P213" s="340">
        <f t="shared" si="157"/>
        <v>30232.627134049806</v>
      </c>
      <c r="Q213" s="340">
        <f t="shared" si="157"/>
        <v>30504.720778256251</v>
      </c>
      <c r="R213" s="340">
        <f t="shared" si="157"/>
        <v>30779.263265260564</v>
      </c>
      <c r="S213" s="340">
        <f t="shared" si="157"/>
        <v>31056.276634647904</v>
      </c>
      <c r="T213" s="340">
        <f t="shared" si="157"/>
        <v>31335.783124359732</v>
      </c>
      <c r="U213" s="340">
        <f t="shared" si="157"/>
        <v>31617.805172478966</v>
      </c>
    </row>
    <row r="214" spans="1:21" s="177" customFormat="1" ht="19.899999999999999" customHeight="1" x14ac:dyDescent="0.2">
      <c r="A214" s="173"/>
      <c r="B214" s="174"/>
      <c r="C214" s="519"/>
      <c r="D214" s="341" t="s">
        <v>191</v>
      </c>
      <c r="E214" s="341"/>
      <c r="F214" s="345">
        <f t="shared" ref="F214:U214" si="158">$E$182*(1+$E$183)^(F198-$F$198)</f>
        <v>331700</v>
      </c>
      <c r="G214" s="345">
        <f t="shared" si="158"/>
        <v>334685.3</v>
      </c>
      <c r="H214" s="345">
        <f t="shared" si="158"/>
        <v>337697.46769999992</v>
      </c>
      <c r="I214" s="345">
        <f t="shared" si="158"/>
        <v>340736.74490929989</v>
      </c>
      <c r="J214" s="345">
        <f t="shared" si="158"/>
        <v>343803.3756134836</v>
      </c>
      <c r="K214" s="345">
        <f t="shared" si="158"/>
        <v>346897.60599400493</v>
      </c>
      <c r="L214" s="345">
        <f t="shared" si="158"/>
        <v>350019.68444795097</v>
      </c>
      <c r="M214" s="345">
        <f t="shared" si="158"/>
        <v>353169.86160798237</v>
      </c>
      <c r="N214" s="345">
        <f t="shared" si="158"/>
        <v>356348.39036245423</v>
      </c>
      <c r="O214" s="345">
        <f t="shared" si="158"/>
        <v>359555.5258757163</v>
      </c>
      <c r="P214" s="345">
        <f t="shared" si="158"/>
        <v>362791.52560859767</v>
      </c>
      <c r="Q214" s="345">
        <f t="shared" si="158"/>
        <v>366056.64933907503</v>
      </c>
      <c r="R214" s="345">
        <f t="shared" si="158"/>
        <v>369351.15918312676</v>
      </c>
      <c r="S214" s="345">
        <f t="shared" si="158"/>
        <v>372675.31961577485</v>
      </c>
      <c r="T214" s="345">
        <f t="shared" si="158"/>
        <v>376029.39749231678</v>
      </c>
      <c r="U214" s="345">
        <f t="shared" si="158"/>
        <v>379413.66206974757</v>
      </c>
    </row>
    <row r="215" spans="1:21" s="9" customFormat="1" ht="19.899999999999999" customHeight="1" x14ac:dyDescent="0.2">
      <c r="A215" s="11"/>
      <c r="B215" s="5"/>
      <c r="C215" s="519"/>
      <c r="D215" s="339" t="s">
        <v>83</v>
      </c>
      <c r="E215" s="342"/>
      <c r="F215" s="340">
        <f>F216*'Environmental analysis'!F65*$E$192/100</f>
        <v>34000</v>
      </c>
      <c r="G215" s="340">
        <f>G216*'Environmental analysis'!G65*$E$192/100</f>
        <v>34773.152397983336</v>
      </c>
      <c r="H215" s="340">
        <f>H216*'Environmental analysis'!H65*$E$192/100</f>
        <v>35563.886108628656</v>
      </c>
      <c r="I215" s="340">
        <f>I216*'Environmental analysis'!I65*$E$192/100</f>
        <v>36372.600927054904</v>
      </c>
      <c r="J215" s="340">
        <f>J216*'Environmental analysis'!J65*$E$192/100</f>
        <v>37199.705739632656</v>
      </c>
      <c r="K215" s="340">
        <f>K216*'Environmental analysis'!K65*$E$192/100</f>
        <v>38045.618730717113</v>
      </c>
      <c r="L215" s="340">
        <f>L216*'Environmental analysis'!L65*$E$192/100</f>
        <v>38910.767594082223</v>
      </c>
      <c r="M215" s="340">
        <f>M216*'Environmental analysis'!M65*$E$192/100</f>
        <v>39795.589749162726</v>
      </c>
      <c r="N215" s="340">
        <f>N216*'Environmental analysis'!N65*$E$192/100</f>
        <v>40700.532562213491</v>
      </c>
      <c r="O215" s="340">
        <f>O216*'Environmental analysis'!O65*$E$192/100</f>
        <v>41626.053572498022</v>
      </c>
      <c r="P215" s="340">
        <f>P216*'Environmental analysis'!P65*$E$192/100</f>
        <v>42572.620723620363</v>
      </c>
      <c r="Q215" s="340">
        <f>Q216*'Environmental analysis'!Q65*$E$192/100</f>
        <v>43540.712600117491</v>
      </c>
      <c r="R215" s="340">
        <f>R216*'Environmental analysis'!R65*$E$192/100</f>
        <v>44530.818669431734</v>
      </c>
      <c r="S215" s="340">
        <f>S216*'Environmental analysis'!S65*$E$192/100</f>
        <v>45543.439529385621</v>
      </c>
      <c r="T215" s="340">
        <f>T216*'Environmental analysis'!T65*$E$192/100</f>
        <v>46579.08716128426</v>
      </c>
      <c r="U215" s="340">
        <f>U216*'Environmental analysis'!U65*$E$192/100</f>
        <v>47638.285188773138</v>
      </c>
    </row>
    <row r="216" spans="1:21" s="9" customFormat="1" ht="19.899999999999999" customHeight="1" x14ac:dyDescent="0.2">
      <c r="A216" s="11"/>
      <c r="B216" s="5"/>
      <c r="C216" s="519"/>
      <c r="D216" s="341" t="s">
        <v>192</v>
      </c>
      <c r="E216" s="342"/>
      <c r="F216" s="346">
        <f t="shared" ref="F216:U216" si="159">$E$186*(1+$E$187)^(F198-$F$198)</f>
        <v>1</v>
      </c>
      <c r="G216" s="346">
        <f t="shared" si="159"/>
        <v>1.03</v>
      </c>
      <c r="H216" s="346">
        <f t="shared" si="159"/>
        <v>1.0609</v>
      </c>
      <c r="I216" s="346">
        <f t="shared" si="159"/>
        <v>1.092727</v>
      </c>
      <c r="J216" s="346">
        <f t="shared" si="159"/>
        <v>1.1255088099999999</v>
      </c>
      <c r="K216" s="346">
        <f t="shared" si="159"/>
        <v>1.1592740742999998</v>
      </c>
      <c r="L216" s="346">
        <f t="shared" si="159"/>
        <v>1.1940522965289999</v>
      </c>
      <c r="M216" s="346">
        <f t="shared" si="159"/>
        <v>1.22987386542487</v>
      </c>
      <c r="N216" s="346">
        <f t="shared" si="159"/>
        <v>1.2667700813876159</v>
      </c>
      <c r="O216" s="346">
        <f t="shared" si="159"/>
        <v>1.3047731838292445</v>
      </c>
      <c r="P216" s="346">
        <f t="shared" si="159"/>
        <v>1.3439163793441218</v>
      </c>
      <c r="Q216" s="346">
        <f t="shared" si="159"/>
        <v>1.3842338707244455</v>
      </c>
      <c r="R216" s="346">
        <f t="shared" si="159"/>
        <v>1.4257608868461786</v>
      </c>
      <c r="S216" s="346">
        <f t="shared" si="159"/>
        <v>1.4685337134515639</v>
      </c>
      <c r="T216" s="346">
        <f t="shared" si="159"/>
        <v>1.512589724855111</v>
      </c>
      <c r="U216" s="346">
        <f t="shared" si="159"/>
        <v>1.5579674166007644</v>
      </c>
    </row>
    <row r="217" spans="1:21" s="9" customFormat="1" ht="19.899999999999999" customHeight="1" x14ac:dyDescent="0.2">
      <c r="A217" s="11"/>
      <c r="B217" s="5"/>
      <c r="C217" s="519"/>
      <c r="D217" s="339" t="s">
        <v>193</v>
      </c>
      <c r="E217" s="342"/>
      <c r="F217" s="340">
        <f t="shared" ref="F217:U217" si="160">$E$189*(1+$E$190)^(F198-$F$198)*$E$192</f>
        <v>26520</v>
      </c>
      <c r="G217" s="340">
        <f t="shared" si="160"/>
        <v>26785.200000000001</v>
      </c>
      <c r="H217" s="340">
        <f t="shared" si="160"/>
        <v>27053.052</v>
      </c>
      <c r="I217" s="340">
        <f t="shared" si="160"/>
        <v>27323.58252</v>
      </c>
      <c r="J217" s="340">
        <f t="shared" si="160"/>
        <v>27596.818345200001</v>
      </c>
      <c r="K217" s="340">
        <f t="shared" si="160"/>
        <v>27872.786528651999</v>
      </c>
      <c r="L217" s="340">
        <f t="shared" si="160"/>
        <v>28151.514393938523</v>
      </c>
      <c r="M217" s="340">
        <f t="shared" si="160"/>
        <v>28433.029537877905</v>
      </c>
      <c r="N217" s="340">
        <f t="shared" si="160"/>
        <v>28717.359833256691</v>
      </c>
      <c r="O217" s="340">
        <f t="shared" si="160"/>
        <v>29004.533431589258</v>
      </c>
      <c r="P217" s="340">
        <f t="shared" si="160"/>
        <v>29294.578765905149</v>
      </c>
      <c r="Q217" s="340">
        <f t="shared" si="160"/>
        <v>29587.524553564195</v>
      </c>
      <c r="R217" s="340">
        <f t="shared" si="160"/>
        <v>29883.39979909984</v>
      </c>
      <c r="S217" s="340">
        <f t="shared" si="160"/>
        <v>30182.233797090837</v>
      </c>
      <c r="T217" s="340">
        <f t="shared" si="160"/>
        <v>30484.056135061754</v>
      </c>
      <c r="U217" s="340">
        <f t="shared" si="160"/>
        <v>30788.896696412361</v>
      </c>
    </row>
    <row r="218" spans="1:21" s="9" customFormat="1" ht="19.899999999999999" customHeight="1" x14ac:dyDescent="0.2">
      <c r="A218" s="11"/>
      <c r="B218" s="5"/>
      <c r="C218" s="519"/>
      <c r="D218" s="339" t="s">
        <v>382</v>
      </c>
      <c r="E218" s="342"/>
      <c r="F218" s="340">
        <f t="shared" ref="F218:U218" si="161">$E$17*(1+$E$18)^(F198-$F$198)+F219</f>
        <v>84000</v>
      </c>
      <c r="G218" s="340">
        <f t="shared" si="161"/>
        <v>85680</v>
      </c>
      <c r="H218" s="340">
        <f t="shared" si="161"/>
        <v>87393.600000000006</v>
      </c>
      <c r="I218" s="340">
        <f t="shared" si="161"/>
        <v>89141.471999999994</v>
      </c>
      <c r="J218" s="340">
        <f t="shared" si="161"/>
        <v>90924.301439999996</v>
      </c>
      <c r="K218" s="340">
        <f t="shared" si="161"/>
        <v>92742.787468800001</v>
      </c>
      <c r="L218" s="340">
        <f t="shared" si="161"/>
        <v>94597.643218176003</v>
      </c>
      <c r="M218" s="340">
        <f t="shared" si="161"/>
        <v>96489.596082539501</v>
      </c>
      <c r="N218" s="340">
        <f t="shared" si="161"/>
        <v>98419.388004190303</v>
      </c>
      <c r="O218" s="340">
        <f t="shared" si="161"/>
        <v>100387.77576427412</v>
      </c>
      <c r="P218" s="340">
        <f t="shared" si="161"/>
        <v>102395.5312795596</v>
      </c>
      <c r="Q218" s="340">
        <f t="shared" si="161"/>
        <v>104443.44190515077</v>
      </c>
      <c r="R218" s="340">
        <f t="shared" si="161"/>
        <v>106532.31074325381</v>
      </c>
      <c r="S218" s="340">
        <f t="shared" si="161"/>
        <v>108662.95695811887</v>
      </c>
      <c r="T218" s="340">
        <f t="shared" si="161"/>
        <v>110836.21609728126</v>
      </c>
      <c r="U218" s="340">
        <f t="shared" si="161"/>
        <v>113052.94041922686</v>
      </c>
    </row>
    <row r="219" spans="1:21" s="177" customFormat="1" ht="19.899999999999999" customHeight="1" x14ac:dyDescent="0.2">
      <c r="A219" s="173"/>
      <c r="B219" s="174"/>
      <c r="C219" s="519"/>
      <c r="D219" s="341" t="s">
        <v>196</v>
      </c>
      <c r="E219" s="347"/>
      <c r="F219" s="345">
        <f t="shared" ref="F219:U219" si="162">$E$20*(1+$E$21)^(F198-$F$198)</f>
        <v>4000</v>
      </c>
      <c r="G219" s="345">
        <f t="shared" si="162"/>
        <v>4080</v>
      </c>
      <c r="H219" s="345">
        <f t="shared" si="162"/>
        <v>4161.6000000000004</v>
      </c>
      <c r="I219" s="345">
        <f t="shared" si="162"/>
        <v>4244.8319999999994</v>
      </c>
      <c r="J219" s="345">
        <f t="shared" si="162"/>
        <v>4329.7286400000003</v>
      </c>
      <c r="K219" s="345">
        <f t="shared" si="162"/>
        <v>4416.3232128</v>
      </c>
      <c r="L219" s="345">
        <f t="shared" si="162"/>
        <v>4504.6496770560007</v>
      </c>
      <c r="M219" s="345">
        <f t="shared" si="162"/>
        <v>4594.7426705971193</v>
      </c>
      <c r="N219" s="345">
        <f t="shared" si="162"/>
        <v>4686.637524009062</v>
      </c>
      <c r="O219" s="345">
        <f t="shared" si="162"/>
        <v>4780.3702744892435</v>
      </c>
      <c r="P219" s="345">
        <f t="shared" si="162"/>
        <v>4875.9776799790288</v>
      </c>
      <c r="Q219" s="345">
        <f t="shared" si="162"/>
        <v>4973.4972335786078</v>
      </c>
      <c r="R219" s="345">
        <f t="shared" si="162"/>
        <v>5072.967178250181</v>
      </c>
      <c r="S219" s="345">
        <f t="shared" si="162"/>
        <v>5174.4265218151841</v>
      </c>
      <c r="T219" s="345">
        <f t="shared" si="162"/>
        <v>5277.9150522514883</v>
      </c>
      <c r="U219" s="345">
        <f t="shared" si="162"/>
        <v>5383.4733532965165</v>
      </c>
    </row>
    <row r="220" spans="1:21" s="9" customFormat="1" ht="19.899999999999999" customHeight="1" x14ac:dyDescent="0.2">
      <c r="A220" s="11"/>
      <c r="B220" s="5"/>
      <c r="C220" s="519"/>
      <c r="D220" s="339" t="s">
        <v>89</v>
      </c>
      <c r="E220" s="342"/>
      <c r="F220" s="340">
        <f t="shared" ref="F220:U220" si="163">((F214*$E$23*(1+$E$23)^$E$9))/((1+$E$23)^$E$9-1)-F213</f>
        <v>14120.022970203627</v>
      </c>
      <c r="G220" s="340">
        <f t="shared" si="163"/>
        <v>14247.103176935452</v>
      </c>
      <c r="H220" s="340">
        <f t="shared" si="163"/>
        <v>14375.327105527867</v>
      </c>
      <c r="I220" s="340">
        <f t="shared" si="163"/>
        <v>14504.705049477619</v>
      </c>
      <c r="J220" s="340">
        <f t="shared" si="163"/>
        <v>14635.247394922921</v>
      </c>
      <c r="K220" s="340">
        <f t="shared" si="163"/>
        <v>14766.964621477222</v>
      </c>
      <c r="L220" s="340">
        <f t="shared" si="163"/>
        <v>14899.867303070521</v>
      </c>
      <c r="M220" s="340">
        <f t="shared" si="163"/>
        <v>15033.966108798148</v>
      </c>
      <c r="N220" s="340">
        <f t="shared" si="163"/>
        <v>15169.271803777334</v>
      </c>
      <c r="O220" s="340">
        <f t="shared" si="163"/>
        <v>15305.795250011332</v>
      </c>
      <c r="P220" s="340">
        <f t="shared" si="163"/>
        <v>15443.547407261431</v>
      </c>
      <c r="Q220" s="340">
        <f t="shared" si="163"/>
        <v>15582.539333926779</v>
      </c>
      <c r="R220" s="340">
        <f t="shared" si="163"/>
        <v>15722.782187932124</v>
      </c>
      <c r="S220" s="340">
        <f t="shared" si="163"/>
        <v>15864.287227623514</v>
      </c>
      <c r="T220" s="340">
        <f t="shared" si="163"/>
        <v>16007.065812672117</v>
      </c>
      <c r="U220" s="340">
        <f t="shared" si="163"/>
        <v>16151.129404986164</v>
      </c>
    </row>
    <row r="221" spans="1:21" s="9" customFormat="1" ht="19.899999999999999" customHeight="1" x14ac:dyDescent="0.2">
      <c r="A221" s="11"/>
      <c r="B221" s="5"/>
      <c r="C221" s="519"/>
      <c r="D221" s="339" t="s">
        <v>87</v>
      </c>
      <c r="E221" s="342"/>
      <c r="F221" s="340">
        <f t="shared" ref="F221:U221" si="164">F214*$E$25</f>
        <v>16585</v>
      </c>
      <c r="G221" s="340">
        <f t="shared" si="164"/>
        <v>16734.264999999999</v>
      </c>
      <c r="H221" s="340">
        <f t="shared" si="164"/>
        <v>16884.873384999995</v>
      </c>
      <c r="I221" s="340">
        <f t="shared" si="164"/>
        <v>17036.837245464994</v>
      </c>
      <c r="J221" s="340">
        <f t="shared" si="164"/>
        <v>17190.168780674179</v>
      </c>
      <c r="K221" s="340">
        <f t="shared" si="164"/>
        <v>17344.880299700246</v>
      </c>
      <c r="L221" s="340">
        <f t="shared" si="164"/>
        <v>17500.98422239755</v>
      </c>
      <c r="M221" s="340">
        <f t="shared" si="164"/>
        <v>17658.493080399119</v>
      </c>
      <c r="N221" s="340">
        <f t="shared" si="164"/>
        <v>17817.419518122711</v>
      </c>
      <c r="O221" s="340">
        <f t="shared" si="164"/>
        <v>17977.776293785817</v>
      </c>
      <c r="P221" s="340">
        <f t="shared" si="164"/>
        <v>18139.576280429883</v>
      </c>
      <c r="Q221" s="340">
        <f t="shared" si="164"/>
        <v>18302.832466953751</v>
      </c>
      <c r="R221" s="340">
        <f t="shared" si="164"/>
        <v>18467.55795915634</v>
      </c>
      <c r="S221" s="340">
        <f t="shared" si="164"/>
        <v>18633.765980788743</v>
      </c>
      <c r="T221" s="340">
        <f t="shared" si="164"/>
        <v>18801.469874615839</v>
      </c>
      <c r="U221" s="340">
        <f t="shared" si="164"/>
        <v>18970.683103487379</v>
      </c>
    </row>
    <row r="222" spans="1:21" s="9" customFormat="1" ht="19.899999999999999" customHeight="1" x14ac:dyDescent="0.2">
      <c r="A222" s="11"/>
      <c r="B222" s="5"/>
      <c r="C222" s="519"/>
      <c r="D222" s="339" t="s">
        <v>90</v>
      </c>
      <c r="E222" s="342"/>
      <c r="F222" s="340">
        <f t="shared" ref="F222:U222" si="165">F160+F161+F163</f>
        <v>0</v>
      </c>
      <c r="G222" s="340">
        <f t="shared" si="165"/>
        <v>0</v>
      </c>
      <c r="H222" s="340">
        <f t="shared" si="165"/>
        <v>0</v>
      </c>
      <c r="I222" s="340">
        <f t="shared" si="165"/>
        <v>0</v>
      </c>
      <c r="J222" s="340">
        <f t="shared" si="165"/>
        <v>0</v>
      </c>
      <c r="K222" s="340">
        <f t="shared" si="165"/>
        <v>0</v>
      </c>
      <c r="L222" s="340">
        <f t="shared" si="165"/>
        <v>0</v>
      </c>
      <c r="M222" s="340">
        <f t="shared" si="165"/>
        <v>0</v>
      </c>
      <c r="N222" s="340">
        <f t="shared" si="165"/>
        <v>0</v>
      </c>
      <c r="O222" s="340">
        <f t="shared" si="165"/>
        <v>0</v>
      </c>
      <c r="P222" s="340">
        <f t="shared" si="165"/>
        <v>0</v>
      </c>
      <c r="Q222" s="340">
        <f t="shared" si="165"/>
        <v>0</v>
      </c>
      <c r="R222" s="340">
        <f t="shared" si="165"/>
        <v>0</v>
      </c>
      <c r="S222" s="340">
        <f t="shared" si="165"/>
        <v>0</v>
      </c>
      <c r="T222" s="340">
        <f t="shared" si="165"/>
        <v>0</v>
      </c>
      <c r="U222" s="340">
        <f t="shared" si="165"/>
        <v>0</v>
      </c>
    </row>
    <row r="223" spans="1:21" s="9" customFormat="1" ht="19.899999999999999" customHeight="1" x14ac:dyDescent="0.2">
      <c r="A223" s="23"/>
      <c r="B223" s="24"/>
      <c r="C223" s="519"/>
      <c r="D223" s="336" t="s">
        <v>91</v>
      </c>
      <c r="E223" s="336"/>
      <c r="F223" s="338">
        <f>(F224+F225+F226)/$E$197</f>
        <v>1605.6555938142324</v>
      </c>
      <c r="G223" s="338">
        <f t="shared" ref="G223:U223" si="166">(G224+G225+G226)/$E$197</f>
        <v>1621.0155938142323</v>
      </c>
      <c r="H223" s="338">
        <f t="shared" si="166"/>
        <v>1636.5599138142322</v>
      </c>
      <c r="I223" s="338">
        <f t="shared" si="166"/>
        <v>1652.2907656542322</v>
      </c>
      <c r="J223" s="338">
        <f t="shared" si="166"/>
        <v>1668.2103877163122</v>
      </c>
      <c r="K223" s="338">
        <f t="shared" si="166"/>
        <v>1684.321045243137</v>
      </c>
      <c r="L223" s="338">
        <f t="shared" si="166"/>
        <v>1700.6250306602838</v>
      </c>
      <c r="M223" s="338">
        <f t="shared" si="166"/>
        <v>1717.1246639024366</v>
      </c>
      <c r="N223" s="338">
        <f t="shared" si="166"/>
        <v>1733.8222927434952</v>
      </c>
      <c r="O223" s="338">
        <f t="shared" si="166"/>
        <v>1750.7202931306463</v>
      </c>
      <c r="P223" s="338">
        <f t="shared" si="166"/>
        <v>1767.8210695224434</v>
      </c>
      <c r="Q223" s="338">
        <f t="shared" si="166"/>
        <v>1785.1270552309416</v>
      </c>
      <c r="R223" s="338">
        <f t="shared" si="166"/>
        <v>1802.6407127679422</v>
      </c>
      <c r="S223" s="338">
        <f t="shared" si="166"/>
        <v>1820.3645341953866</v>
      </c>
      <c r="T223" s="338">
        <f t="shared" si="166"/>
        <v>1838.3010414799603</v>
      </c>
      <c r="U223" s="338">
        <f t="shared" si="166"/>
        <v>1856.4527868519497</v>
      </c>
    </row>
    <row r="224" spans="1:21" s="198" customFormat="1" ht="19.899999999999999" customHeight="1" x14ac:dyDescent="0.2">
      <c r="A224" s="196"/>
      <c r="B224" s="197"/>
      <c r="C224" s="519"/>
      <c r="D224" s="339" t="s">
        <v>92</v>
      </c>
      <c r="E224" s="342"/>
      <c r="F224" s="340">
        <f t="shared" ref="F224:U224" si="167">$E$194/$E$10</f>
        <v>17250</v>
      </c>
      <c r="G224" s="340">
        <f t="shared" si="167"/>
        <v>17250</v>
      </c>
      <c r="H224" s="340">
        <f t="shared" si="167"/>
        <v>17250</v>
      </c>
      <c r="I224" s="340">
        <f t="shared" si="167"/>
        <v>17250</v>
      </c>
      <c r="J224" s="340">
        <f t="shared" si="167"/>
        <v>17250</v>
      </c>
      <c r="K224" s="340">
        <f t="shared" si="167"/>
        <v>17250</v>
      </c>
      <c r="L224" s="340">
        <f t="shared" si="167"/>
        <v>17250</v>
      </c>
      <c r="M224" s="340">
        <f t="shared" si="167"/>
        <v>17250</v>
      </c>
      <c r="N224" s="340">
        <f t="shared" si="167"/>
        <v>17250</v>
      </c>
      <c r="O224" s="340">
        <f t="shared" si="167"/>
        <v>17250</v>
      </c>
      <c r="P224" s="340">
        <f t="shared" si="167"/>
        <v>17250</v>
      </c>
      <c r="Q224" s="340">
        <f t="shared" si="167"/>
        <v>17250</v>
      </c>
      <c r="R224" s="340">
        <f t="shared" si="167"/>
        <v>17250</v>
      </c>
      <c r="S224" s="340">
        <f t="shared" si="167"/>
        <v>17250</v>
      </c>
      <c r="T224" s="340">
        <f t="shared" si="167"/>
        <v>17250</v>
      </c>
      <c r="U224" s="340">
        <f t="shared" si="167"/>
        <v>17250</v>
      </c>
    </row>
    <row r="225" spans="1:21" s="9" customFormat="1" ht="19.899999999999999" customHeight="1" x14ac:dyDescent="0.2">
      <c r="A225" s="23"/>
      <c r="B225" s="24"/>
      <c r="C225" s="519"/>
      <c r="D225" s="339" t="s">
        <v>197</v>
      </c>
      <c r="E225" s="342"/>
      <c r="F225" s="340">
        <f t="shared" ref="F225:U225" si="168">$E$195*(1+$E$196)^(F198-$F$198)</f>
        <v>128000</v>
      </c>
      <c r="G225" s="340">
        <f t="shared" si="168"/>
        <v>129536</v>
      </c>
      <c r="H225" s="340">
        <f t="shared" si="168"/>
        <v>131090.432</v>
      </c>
      <c r="I225" s="340">
        <f t="shared" si="168"/>
        <v>132663.517184</v>
      </c>
      <c r="J225" s="340">
        <f t="shared" si="168"/>
        <v>134255.479390208</v>
      </c>
      <c r="K225" s="340">
        <f t="shared" si="168"/>
        <v>135866.54514289048</v>
      </c>
      <c r="L225" s="340">
        <f t="shared" si="168"/>
        <v>137496.94368460515</v>
      </c>
      <c r="M225" s="340">
        <f t="shared" si="168"/>
        <v>139146.90700882045</v>
      </c>
      <c r="N225" s="340">
        <f t="shared" si="168"/>
        <v>140816.66989292629</v>
      </c>
      <c r="O225" s="340">
        <f t="shared" si="168"/>
        <v>142506.46993164139</v>
      </c>
      <c r="P225" s="340">
        <f t="shared" si="168"/>
        <v>144216.5475708211</v>
      </c>
      <c r="Q225" s="340">
        <f t="shared" si="168"/>
        <v>145947.14614167094</v>
      </c>
      <c r="R225" s="340">
        <f t="shared" si="168"/>
        <v>147698.51189537099</v>
      </c>
      <c r="S225" s="340">
        <f t="shared" si="168"/>
        <v>149470.89403811542</v>
      </c>
      <c r="T225" s="340">
        <f t="shared" si="168"/>
        <v>151264.5447665728</v>
      </c>
      <c r="U225" s="340">
        <f t="shared" si="168"/>
        <v>153079.71930377174</v>
      </c>
    </row>
    <row r="226" spans="1:21" s="9" customFormat="1" ht="19.899999999999999" customHeight="1" x14ac:dyDescent="0.2">
      <c r="A226" s="23"/>
      <c r="B226" s="24"/>
      <c r="C226" s="519"/>
      <c r="D226" s="339" t="s">
        <v>198</v>
      </c>
      <c r="E226" s="342"/>
      <c r="F226" s="340">
        <f t="shared" ref="F226:U226" si="169">(($E$194*$E$23*(1+$E$23)^$E$10))/((1+$E$23)^$E$10-1)-F224</f>
        <v>15315.55938142322</v>
      </c>
      <c r="G226" s="340">
        <f t="shared" si="169"/>
        <v>15315.55938142322</v>
      </c>
      <c r="H226" s="340">
        <f t="shared" si="169"/>
        <v>15315.55938142322</v>
      </c>
      <c r="I226" s="340">
        <f t="shared" si="169"/>
        <v>15315.55938142322</v>
      </c>
      <c r="J226" s="340">
        <f t="shared" si="169"/>
        <v>15315.55938142322</v>
      </c>
      <c r="K226" s="340">
        <f t="shared" si="169"/>
        <v>15315.55938142322</v>
      </c>
      <c r="L226" s="340">
        <f t="shared" si="169"/>
        <v>15315.55938142322</v>
      </c>
      <c r="M226" s="340">
        <f t="shared" si="169"/>
        <v>15315.55938142322</v>
      </c>
      <c r="N226" s="340">
        <f t="shared" si="169"/>
        <v>15315.55938142322</v>
      </c>
      <c r="O226" s="340">
        <f t="shared" si="169"/>
        <v>15315.55938142322</v>
      </c>
      <c r="P226" s="340">
        <f t="shared" si="169"/>
        <v>15315.55938142322</v>
      </c>
      <c r="Q226" s="340">
        <f t="shared" si="169"/>
        <v>15315.55938142322</v>
      </c>
      <c r="R226" s="340">
        <f t="shared" si="169"/>
        <v>15315.55938142322</v>
      </c>
      <c r="S226" s="340">
        <f t="shared" si="169"/>
        <v>15315.55938142322</v>
      </c>
      <c r="T226" s="340">
        <f t="shared" si="169"/>
        <v>15315.55938142322</v>
      </c>
      <c r="U226" s="340">
        <f t="shared" si="169"/>
        <v>15315.55938142322</v>
      </c>
    </row>
    <row r="227" spans="1:21" s="9" customFormat="1" ht="12.75" customHeight="1" x14ac:dyDescent="0.2">
      <c r="A227" s="11"/>
      <c r="B227" s="5"/>
      <c r="C227" s="519"/>
      <c r="D227" s="7"/>
      <c r="E227" s="7"/>
      <c r="F227" s="147"/>
      <c r="G227" s="147"/>
      <c r="H227" s="147"/>
      <c r="I227" s="147"/>
      <c r="J227" s="147"/>
      <c r="K227" s="147"/>
      <c r="L227" s="147"/>
      <c r="M227" s="147"/>
      <c r="N227" s="147"/>
      <c r="O227" s="147"/>
      <c r="P227" s="147"/>
      <c r="Q227" s="147"/>
      <c r="R227" s="7"/>
      <c r="S227" s="7"/>
      <c r="T227" s="7"/>
      <c r="U227" s="7"/>
    </row>
    <row r="228" spans="1:21" ht="12.75" customHeight="1" x14ac:dyDescent="0.2">
      <c r="F228" s="226"/>
      <c r="G228" s="226"/>
      <c r="H228" s="226"/>
      <c r="I228" s="226"/>
      <c r="J228" s="226"/>
      <c r="K228" s="226"/>
      <c r="L228" s="226"/>
      <c r="M228" s="226"/>
      <c r="N228" s="226"/>
      <c r="O228" s="226"/>
      <c r="P228" s="226"/>
      <c r="Q228" s="226"/>
    </row>
    <row r="229" spans="1:21" ht="0" hidden="1" customHeight="1" x14ac:dyDescent="0.25"/>
    <row r="230" spans="1:21" ht="0" hidden="1" customHeight="1" x14ac:dyDescent="0.25"/>
    <row r="231" spans="1:21" ht="0" hidden="1" customHeight="1" x14ac:dyDescent="0.25"/>
    <row r="232" spans="1:21" ht="0" hidden="1" customHeight="1" x14ac:dyDescent="0.25"/>
    <row r="233" spans="1:21" ht="0" hidden="1" customHeight="1" x14ac:dyDescent="0.25"/>
    <row r="234" spans="1:21" ht="0" hidden="1" customHeight="1" x14ac:dyDescent="0.25"/>
    <row r="235" spans="1:21" ht="0" hidden="1" customHeight="1" x14ac:dyDescent="0.25"/>
    <row r="236" spans="1:21" ht="0" hidden="1" customHeight="1" x14ac:dyDescent="0.25"/>
    <row r="237" spans="1:21" ht="0" hidden="1" customHeight="1" x14ac:dyDescent="0.25"/>
    <row r="238" spans="1:21" ht="0" hidden="1" customHeight="1" x14ac:dyDescent="0.25"/>
    <row r="239" spans="1:21" ht="0" hidden="1" customHeight="1" x14ac:dyDescent="0.25"/>
    <row r="240" spans="1:21" ht="0" hidden="1" customHeight="1" x14ac:dyDescent="0.25"/>
    <row r="241" ht="0" hidden="1" customHeight="1" x14ac:dyDescent="0.25"/>
    <row r="242" ht="0" hidden="1" customHeight="1" x14ac:dyDescent="0.25"/>
    <row r="243" ht="0" hidden="1" customHeight="1" x14ac:dyDescent="0.25"/>
    <row r="244" ht="0" hidden="1" customHeight="1" x14ac:dyDescent="0.25"/>
  </sheetData>
  <sheetProtection selectLockedCells="1" selectUnlockedCells="1"/>
  <mergeCells count="7">
    <mergeCell ref="F6:F7"/>
    <mergeCell ref="E6:E7"/>
    <mergeCell ref="D6:D7"/>
    <mergeCell ref="F9:F10"/>
    <mergeCell ref="F31:F40"/>
    <mergeCell ref="F27:F29"/>
    <mergeCell ref="F16:F21"/>
  </mergeCells>
  <dataValidations disablePrompts="1" count="1">
    <dataValidation allowBlank="1" showErrorMessage="1" sqref="F4"/>
  </dataValidations>
  <pageMargins left="0.7" right="0.7" top="0.75" bottom="0.75" header="0.3" footer="0.3"/>
  <pageSetup paperSize="9" scale="4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249977111117893"/>
  </sheetPr>
  <dimension ref="A1:W107"/>
  <sheetViews>
    <sheetView showGridLines="0" showRowColHeaders="0" zoomScale="55" zoomScaleNormal="55" workbookViewId="0"/>
  </sheetViews>
  <sheetFormatPr defaultColWidth="8.85546875" defaultRowHeight="12.75" x14ac:dyDescent="0.2"/>
  <cols>
    <col min="1" max="1" width="1.140625" style="4" customWidth="1"/>
    <col min="2" max="2" width="1.140625" style="15" customWidth="1"/>
    <col min="3" max="3" width="3" style="9" customWidth="1"/>
    <col min="4" max="4" width="68.5703125" style="9" customWidth="1"/>
    <col min="5" max="5" width="11.7109375" style="27" customWidth="1"/>
    <col min="6" max="21" width="11.7109375" style="9" customWidth="1"/>
    <col min="22" max="22" width="13.85546875" style="9" bestFit="1" customWidth="1"/>
    <col min="23" max="23" width="12.7109375" style="9" bestFit="1" customWidth="1"/>
    <col min="24" max="16384" width="8.85546875" style="9"/>
  </cols>
  <sheetData>
    <row r="1" spans="2:21" s="4" customFormat="1" ht="6" customHeight="1" thickBot="1" x14ac:dyDescent="0.3">
      <c r="B1" s="15"/>
      <c r="E1" s="25"/>
    </row>
    <row r="2" spans="2:21" s="14" customFormat="1" ht="6" customHeight="1" thickTop="1" x14ac:dyDescent="0.25">
      <c r="B2" s="16"/>
      <c r="E2" s="26"/>
    </row>
    <row r="6" spans="2:21" ht="13.9" thickBot="1" x14ac:dyDescent="0.3"/>
    <row r="7" spans="2:21" ht="31.9" customHeight="1" thickTop="1" thickBot="1" x14ac:dyDescent="0.3">
      <c r="D7" s="74" t="s">
        <v>29</v>
      </c>
      <c r="R7" s="193"/>
      <c r="S7" s="193"/>
      <c r="T7" s="193"/>
      <c r="U7" s="193"/>
    </row>
    <row r="8" spans="2:21" ht="4.9000000000000004" customHeight="1" thickTop="1" thickBot="1" x14ac:dyDescent="0.3">
      <c r="R8" s="193"/>
      <c r="S8" s="193"/>
      <c r="T8" s="193"/>
      <c r="U8" s="193"/>
    </row>
    <row r="9" spans="2:21" ht="30" customHeight="1" thickTop="1" thickBot="1" x14ac:dyDescent="0.3">
      <c r="D9" s="66" t="s">
        <v>111</v>
      </c>
      <c r="E9" s="884">
        <f>Input!E112</f>
        <v>1</v>
      </c>
      <c r="F9" s="885"/>
      <c r="G9" s="234"/>
      <c r="H9" s="234"/>
      <c r="I9" s="234"/>
      <c r="J9" s="60"/>
      <c r="K9" s="60"/>
      <c r="L9" s="60"/>
      <c r="M9" s="60"/>
      <c r="N9" s="60"/>
      <c r="O9" s="60"/>
      <c r="P9" s="60"/>
      <c r="Q9" s="60"/>
      <c r="R9" s="60"/>
      <c r="S9" s="60"/>
      <c r="T9" s="60"/>
      <c r="U9" s="60"/>
    </row>
    <row r="10" spans="2:21" ht="4.9000000000000004" customHeight="1" thickTop="1" thickBot="1" x14ac:dyDescent="0.3">
      <c r="R10" s="193"/>
      <c r="S10" s="193"/>
      <c r="T10" s="193"/>
      <c r="U10" s="193"/>
    </row>
    <row r="11" spans="2:21" ht="19.899999999999999" customHeight="1" thickBot="1" x14ac:dyDescent="0.3">
      <c r="D11" s="235" t="s">
        <v>103</v>
      </c>
      <c r="E11" s="851">
        <v>2.7</v>
      </c>
      <c r="F11" s="852"/>
      <c r="G11" s="60"/>
      <c r="H11" s="60"/>
      <c r="I11" s="60"/>
      <c r="J11" s="60"/>
      <c r="K11" s="60"/>
      <c r="L11" s="60"/>
      <c r="M11" s="60"/>
      <c r="N11" s="60"/>
      <c r="O11" s="60"/>
      <c r="P11" s="60"/>
      <c r="Q11" s="60"/>
      <c r="R11" s="60"/>
      <c r="S11" s="60"/>
      <c r="T11" s="60"/>
      <c r="U11" s="60"/>
    </row>
    <row r="12" spans="2:21" ht="4.9000000000000004" customHeight="1" thickBot="1" x14ac:dyDescent="0.3">
      <c r="R12" s="193"/>
      <c r="S12" s="193"/>
      <c r="T12" s="193"/>
      <c r="U12" s="193"/>
    </row>
    <row r="13" spans="2:21" ht="19.899999999999999" customHeight="1" thickBot="1" x14ac:dyDescent="0.3">
      <c r="D13" s="235" t="s">
        <v>104</v>
      </c>
      <c r="E13" s="888">
        <v>0.35</v>
      </c>
      <c r="F13" s="889"/>
      <c r="G13" s="60"/>
      <c r="H13" s="60"/>
      <c r="I13" s="60"/>
      <c r="J13" s="60"/>
      <c r="K13" s="60"/>
      <c r="L13" s="60"/>
      <c r="M13" s="60"/>
      <c r="N13" s="60"/>
      <c r="O13" s="60"/>
      <c r="P13" s="60"/>
      <c r="Q13" s="60"/>
      <c r="R13" s="60"/>
      <c r="S13" s="60"/>
      <c r="T13" s="60"/>
      <c r="U13" s="60"/>
    </row>
    <row r="14" spans="2:21" ht="4.9000000000000004" customHeight="1" thickBot="1" x14ac:dyDescent="0.3">
      <c r="R14" s="193"/>
      <c r="S14" s="193"/>
      <c r="T14" s="193"/>
      <c r="U14" s="193"/>
    </row>
    <row r="15" spans="2:21" ht="19.899999999999999" customHeight="1" thickBot="1" x14ac:dyDescent="0.25">
      <c r="D15" s="235" t="s">
        <v>112</v>
      </c>
      <c r="E15" s="851">
        <v>0</v>
      </c>
      <c r="F15" s="852"/>
      <c r="H15" s="869">
        <f>$E$15*$E$9+$E$17*(1-$E$9)</f>
        <v>0</v>
      </c>
      <c r="I15" s="870"/>
    </row>
    <row r="16" spans="2:21" ht="4.9000000000000004" customHeight="1" thickBot="1" x14ac:dyDescent="0.25">
      <c r="H16" s="871"/>
      <c r="I16" s="872"/>
      <c r="R16" s="193"/>
      <c r="S16" s="193"/>
      <c r="T16" s="193"/>
      <c r="U16" s="193"/>
    </row>
    <row r="17" spans="4:21" ht="19.899999999999999" customHeight="1" thickBot="1" x14ac:dyDescent="0.25">
      <c r="D17" s="235" t="s">
        <v>102</v>
      </c>
      <c r="E17" s="851">
        <f>0.052*Input!$E$114</f>
        <v>26</v>
      </c>
      <c r="F17" s="852"/>
      <c r="H17" s="873"/>
      <c r="I17" s="874"/>
    </row>
    <row r="18" spans="4:21" ht="4.9000000000000004" customHeight="1" thickBot="1" x14ac:dyDescent="0.3">
      <c r="R18" s="193"/>
      <c r="S18" s="193"/>
      <c r="T18" s="193"/>
      <c r="U18" s="193"/>
    </row>
    <row r="19" spans="4:21" ht="19.899999999999999" customHeight="1" thickBot="1" x14ac:dyDescent="0.25">
      <c r="D19" s="235" t="s">
        <v>97</v>
      </c>
      <c r="E19" s="882">
        <f>Input!E92</f>
        <v>40</v>
      </c>
      <c r="F19" s="883"/>
      <c r="H19" s="875" t="s">
        <v>167</v>
      </c>
      <c r="I19" s="875"/>
    </row>
    <row r="20" spans="4:21" ht="4.9000000000000004" customHeight="1" thickBot="1" x14ac:dyDescent="0.25">
      <c r="H20" s="875"/>
      <c r="I20" s="875"/>
      <c r="R20" s="193"/>
      <c r="S20" s="193"/>
      <c r="T20" s="193"/>
      <c r="U20" s="193"/>
    </row>
    <row r="21" spans="4:21" ht="19.899999999999999" customHeight="1" thickBot="1" x14ac:dyDescent="0.25">
      <c r="D21" s="235" t="s">
        <v>98</v>
      </c>
      <c r="E21" s="882">
        <f>Input!E93</f>
        <v>50</v>
      </c>
      <c r="F21" s="883"/>
      <c r="H21" s="875"/>
      <c r="I21" s="875"/>
    </row>
    <row r="22" spans="4:21" ht="4.9000000000000004" customHeight="1" thickBot="1" x14ac:dyDescent="0.3">
      <c r="R22" s="193"/>
      <c r="S22" s="193"/>
      <c r="T22" s="193"/>
      <c r="U22" s="193"/>
    </row>
    <row r="23" spans="4:21" ht="19.899999999999999" customHeight="1" thickBot="1" x14ac:dyDescent="0.3">
      <c r="D23" s="235" t="s">
        <v>187</v>
      </c>
      <c r="E23" s="886">
        <f>Input!E94</f>
        <v>7.0487607657527818E-3</v>
      </c>
      <c r="F23" s="887"/>
    </row>
    <row r="24" spans="4:21" ht="4.9000000000000004" customHeight="1" thickBot="1" x14ac:dyDescent="0.3">
      <c r="R24" s="193"/>
      <c r="S24" s="193"/>
      <c r="T24" s="193"/>
      <c r="U24" s="193"/>
    </row>
    <row r="25" spans="4:21" ht="19.899999999999999" customHeight="1" thickBot="1" x14ac:dyDescent="0.3">
      <c r="D25" s="235" t="s">
        <v>159</v>
      </c>
      <c r="E25" s="859">
        <v>3.5000000000000003E-2</v>
      </c>
      <c r="F25" s="860"/>
    </row>
    <row r="26" spans="4:21" ht="4.9000000000000004" customHeight="1" thickBot="1" x14ac:dyDescent="0.3">
      <c r="R26" s="193"/>
      <c r="S26" s="193"/>
      <c r="T26" s="193"/>
      <c r="U26" s="193"/>
    </row>
    <row r="27" spans="4:21" ht="19.899999999999999" customHeight="1" thickBot="1" x14ac:dyDescent="0.3">
      <c r="D27" s="235" t="s">
        <v>123</v>
      </c>
      <c r="E27" s="845">
        <f>Input!E50</f>
        <v>0.5</v>
      </c>
      <c r="F27" s="846"/>
    </row>
    <row r="28" spans="4:21" ht="4.9000000000000004" customHeight="1" thickBot="1" x14ac:dyDescent="0.3">
      <c r="R28" s="193"/>
      <c r="S28" s="193"/>
      <c r="T28" s="193"/>
      <c r="U28" s="193"/>
    </row>
    <row r="29" spans="4:21" ht="19.899999999999999" customHeight="1" thickBot="1" x14ac:dyDescent="0.3">
      <c r="D29" s="235" t="s">
        <v>122</v>
      </c>
      <c r="E29" s="867">
        <f>1-E27</f>
        <v>0.5</v>
      </c>
      <c r="F29" s="868"/>
    </row>
    <row r="30" spans="4:21" ht="4.9000000000000004" customHeight="1" thickBot="1" x14ac:dyDescent="0.3"/>
    <row r="31" spans="4:21" ht="19.899999999999999" customHeight="1" thickBot="1" x14ac:dyDescent="0.3">
      <c r="D31" s="235" t="s">
        <v>162</v>
      </c>
      <c r="E31" s="882">
        <f>Input!E61</f>
        <v>50</v>
      </c>
      <c r="F31" s="883"/>
      <c r="H31" s="335" t="str">
        <f>IF($F$59&lt;Input!$E$16," Hydrogen infrastructure not yet deplayed until "&amp;Input!$E$16 &amp;" !!!","")</f>
        <v/>
      </c>
    </row>
    <row r="32" spans="4:21" ht="4.9000000000000004" customHeight="1" thickBot="1" x14ac:dyDescent="0.3"/>
    <row r="33" spans="4:21" ht="19.899999999999999" customHeight="1" thickBot="1" x14ac:dyDescent="0.3">
      <c r="D33" s="235" t="s">
        <v>200</v>
      </c>
      <c r="E33" s="845">
        <f>Input!E62</f>
        <v>-0.03</v>
      </c>
      <c r="F33" s="846"/>
    </row>
    <row r="34" spans="4:21" ht="4.9000000000000004" customHeight="1" thickBot="1" x14ac:dyDescent="0.3"/>
    <row r="35" spans="4:21" ht="19.899999999999999" customHeight="1" thickBot="1" x14ac:dyDescent="0.3">
      <c r="D35" s="235" t="s">
        <v>208</v>
      </c>
      <c r="E35" s="882">
        <f>Input!E114</f>
        <v>500</v>
      </c>
      <c r="F35" s="883"/>
    </row>
    <row r="36" spans="4:21" ht="4.9000000000000004" customHeight="1" thickBot="1" x14ac:dyDescent="0.3"/>
    <row r="37" spans="4:21" ht="19.899999999999999" customHeight="1" thickBot="1" x14ac:dyDescent="0.3">
      <c r="D37" s="235" t="s">
        <v>207</v>
      </c>
      <c r="E37" s="845">
        <f>Input!E115</f>
        <v>0.03</v>
      </c>
      <c r="F37" s="846"/>
      <c r="H37" s="298"/>
    </row>
    <row r="38" spans="4:21" ht="4.9000000000000004" customHeight="1" thickBot="1" x14ac:dyDescent="0.3"/>
    <row r="39" spans="4:21" ht="19.899999999999999" customHeight="1" thickBot="1" x14ac:dyDescent="0.3">
      <c r="D39" s="235" t="s">
        <v>164</v>
      </c>
      <c r="E39" s="851">
        <v>10</v>
      </c>
      <c r="F39" s="852"/>
    </row>
    <row r="40" spans="4:21" ht="4.9000000000000004" customHeight="1" thickBot="1" x14ac:dyDescent="0.3">
      <c r="R40" s="193"/>
      <c r="S40" s="193"/>
      <c r="T40" s="193"/>
      <c r="U40" s="193"/>
    </row>
    <row r="41" spans="4:21" ht="19.899999999999999" customHeight="1" thickBot="1" x14ac:dyDescent="0.3">
      <c r="D41" s="235" t="s">
        <v>176</v>
      </c>
      <c r="E41" s="851">
        <v>4</v>
      </c>
      <c r="F41" s="852"/>
    </row>
    <row r="42" spans="4:21" ht="4.9000000000000004" customHeight="1" thickBot="1" x14ac:dyDescent="0.3"/>
    <row r="43" spans="4:21" ht="19.899999999999999" customHeight="1" thickBot="1" x14ac:dyDescent="0.3">
      <c r="D43" s="235" t="s">
        <v>165</v>
      </c>
      <c r="E43" s="853">
        <v>4.4000000000000003E-3</v>
      </c>
      <c r="F43" s="854"/>
    </row>
    <row r="44" spans="4:21" ht="4.9000000000000004" customHeight="1" thickBot="1" x14ac:dyDescent="0.3"/>
    <row r="45" spans="4:21" ht="19.899999999999999" customHeight="1" thickBot="1" x14ac:dyDescent="0.3">
      <c r="D45" s="235" t="s">
        <v>177</v>
      </c>
      <c r="E45" s="851">
        <v>1.6</v>
      </c>
      <c r="F45" s="852"/>
    </row>
    <row r="46" spans="4:21" ht="4.9000000000000004" customHeight="1" thickBot="1" x14ac:dyDescent="0.25">
      <c r="H46" s="861">
        <f>E43*E41+E47*E45+E51*E49</f>
        <v>2.7900000000000001E-2</v>
      </c>
      <c r="I46" s="862"/>
      <c r="J46" s="843" t="s">
        <v>168</v>
      </c>
      <c r="K46" s="844"/>
      <c r="L46" s="844"/>
    </row>
    <row r="47" spans="4:21" ht="19.899999999999999" customHeight="1" thickBot="1" x14ac:dyDescent="0.25">
      <c r="D47" s="235" t="s">
        <v>199</v>
      </c>
      <c r="E47" s="859">
        <v>1E-3</v>
      </c>
      <c r="F47" s="860"/>
      <c r="H47" s="863"/>
      <c r="I47" s="864"/>
      <c r="J47" s="843"/>
      <c r="K47" s="844"/>
      <c r="L47" s="844"/>
    </row>
    <row r="48" spans="4:21" ht="4.9000000000000004" customHeight="1" thickBot="1" x14ac:dyDescent="0.25">
      <c r="H48" s="865"/>
      <c r="I48" s="866"/>
      <c r="J48" s="843"/>
      <c r="K48" s="844"/>
      <c r="L48" s="844"/>
    </row>
    <row r="49" spans="1:23" ht="19.899999999999999" customHeight="1" thickBot="1" x14ac:dyDescent="0.3">
      <c r="D49" s="235" t="s">
        <v>178</v>
      </c>
      <c r="E49" s="851">
        <v>0.1</v>
      </c>
      <c r="F49" s="852"/>
      <c r="H49" s="299"/>
      <c r="I49" s="299"/>
    </row>
    <row r="50" spans="1:23" ht="4.9000000000000004" customHeight="1" thickBot="1" x14ac:dyDescent="0.3">
      <c r="H50" s="299"/>
      <c r="I50" s="299"/>
    </row>
    <row r="51" spans="1:23" ht="19.899999999999999" customHeight="1" thickBot="1" x14ac:dyDescent="0.3">
      <c r="D51" s="235" t="s">
        <v>166</v>
      </c>
      <c r="E51" s="859">
        <v>8.6999999999999994E-2</v>
      </c>
      <c r="F51" s="860"/>
    </row>
    <row r="52" spans="1:23" ht="4.9000000000000004" customHeight="1" thickBot="1" x14ac:dyDescent="0.3">
      <c r="H52" s="417"/>
      <c r="I52" s="417"/>
    </row>
    <row r="53" spans="1:23" ht="19.899999999999999" customHeight="1" thickBot="1" x14ac:dyDescent="0.3">
      <c r="D53" s="235" t="s">
        <v>225</v>
      </c>
      <c r="E53" s="867">
        <v>0.3</v>
      </c>
      <c r="F53" s="868"/>
      <c r="G53"/>
      <c r="H53"/>
      <c r="I53"/>
      <c r="J53"/>
      <c r="K53"/>
      <c r="L53"/>
      <c r="M53"/>
      <c r="N53"/>
      <c r="O53"/>
      <c r="P53"/>
      <c r="Q53"/>
      <c r="R53"/>
      <c r="S53"/>
      <c r="T53"/>
      <c r="U53"/>
    </row>
    <row r="54" spans="1:23" ht="4.9000000000000004" customHeight="1" thickBot="1" x14ac:dyDescent="0.25">
      <c r="D54" s="389"/>
      <c r="E54" s="390"/>
      <c r="G54"/>
      <c r="H54"/>
      <c r="I54"/>
      <c r="J54"/>
      <c r="K54"/>
      <c r="L54"/>
      <c r="M54"/>
      <c r="N54"/>
      <c r="O54"/>
      <c r="P54"/>
      <c r="Q54"/>
      <c r="R54"/>
      <c r="S54"/>
      <c r="T54"/>
      <c r="U54"/>
    </row>
    <row r="55" spans="1:23" ht="19.899999999999999" customHeight="1" thickBot="1" x14ac:dyDescent="0.25">
      <c r="D55" s="235" t="s">
        <v>226</v>
      </c>
      <c r="E55" s="867">
        <v>0.5</v>
      </c>
      <c r="F55" s="868"/>
      <c r="G55" s="361"/>
      <c r="H55" s="361"/>
      <c r="I55" s="361"/>
      <c r="J55" s="361"/>
      <c r="K55" s="361"/>
      <c r="L55" s="361"/>
      <c r="M55" s="361"/>
      <c r="N55" s="361"/>
      <c r="O55" s="361"/>
      <c r="P55" s="361"/>
      <c r="Q55" s="361"/>
      <c r="R55" s="361"/>
      <c r="S55" s="361"/>
      <c r="T55" s="361"/>
      <c r="U55" s="361"/>
    </row>
    <row r="56" spans="1:23" ht="4.9000000000000004" customHeight="1" thickBot="1" x14ac:dyDescent="0.25">
      <c r="D56" s="389"/>
      <c r="E56" s="390"/>
      <c r="G56" s="361"/>
      <c r="H56" s="361"/>
      <c r="I56" s="361"/>
      <c r="J56" s="361"/>
      <c r="K56" s="361"/>
      <c r="L56" s="361"/>
      <c r="M56" s="361"/>
      <c r="N56" s="361"/>
      <c r="O56" s="361"/>
      <c r="P56" s="361"/>
      <c r="Q56" s="361"/>
      <c r="R56" s="361"/>
      <c r="S56" s="361"/>
      <c r="T56" s="361"/>
      <c r="U56" s="361"/>
    </row>
    <row r="57" spans="1:23" ht="19.899999999999999" customHeight="1" thickBot="1" x14ac:dyDescent="0.25">
      <c r="D57" s="235" t="s">
        <v>227</v>
      </c>
      <c r="E57" s="867">
        <v>0.7</v>
      </c>
      <c r="F57" s="868"/>
      <c r="G57"/>
      <c r="H57"/>
      <c r="I57"/>
      <c r="J57"/>
      <c r="K57"/>
      <c r="L57"/>
      <c r="M57"/>
      <c r="N57"/>
      <c r="O57"/>
      <c r="P57"/>
      <c r="Q57"/>
      <c r="R57"/>
      <c r="S57"/>
      <c r="T57"/>
      <c r="U57"/>
    </row>
    <row r="58" spans="1:23" ht="40.15" customHeight="1" thickBot="1" x14ac:dyDescent="0.25">
      <c r="H58" s="298" t="str">
        <f>IF(Input!E14="No","!!!!!!!! PLEASE SELECT ON SITE PRODUCTION METHOD FOR THE ENVIRONMENTAL ANALYSIS","")</f>
        <v>!!!!!!!! PLEASE SELECT ON SITE PRODUCTION METHOD FOR THE ENVIRONMENTAL ANALYSIS</v>
      </c>
    </row>
    <row r="59" spans="1:23" ht="30" customHeight="1" thickTop="1" thickBot="1" x14ac:dyDescent="0.25">
      <c r="D59" s="857" t="s">
        <v>95</v>
      </c>
      <c r="E59" s="858"/>
      <c r="F59" s="300">
        <v>2015</v>
      </c>
      <c r="G59" s="300">
        <f t="shared" ref="G59:U59" si="0">F59+1</f>
        <v>2016</v>
      </c>
      <c r="H59" s="300">
        <f t="shared" si="0"/>
        <v>2017</v>
      </c>
      <c r="I59" s="300">
        <f t="shared" si="0"/>
        <v>2018</v>
      </c>
      <c r="J59" s="300">
        <f t="shared" si="0"/>
        <v>2019</v>
      </c>
      <c r="K59" s="300">
        <f t="shared" si="0"/>
        <v>2020</v>
      </c>
      <c r="L59" s="300">
        <f t="shared" si="0"/>
        <v>2021</v>
      </c>
      <c r="M59" s="300">
        <f t="shared" si="0"/>
        <v>2022</v>
      </c>
      <c r="N59" s="300">
        <f t="shared" si="0"/>
        <v>2023</v>
      </c>
      <c r="O59" s="300">
        <f t="shared" si="0"/>
        <v>2024</v>
      </c>
      <c r="P59" s="300">
        <f t="shared" si="0"/>
        <v>2025</v>
      </c>
      <c r="Q59" s="300">
        <f t="shared" si="0"/>
        <v>2026</v>
      </c>
      <c r="R59" s="300">
        <f t="shared" si="0"/>
        <v>2027</v>
      </c>
      <c r="S59" s="300">
        <f t="shared" si="0"/>
        <v>2028</v>
      </c>
      <c r="T59" s="300">
        <f t="shared" si="0"/>
        <v>2029</v>
      </c>
      <c r="U59" s="301">
        <f t="shared" si="0"/>
        <v>2030</v>
      </c>
    </row>
    <row r="60" spans="1:23" s="246" customFormat="1" ht="30" customHeight="1" thickTop="1" x14ac:dyDescent="0.2">
      <c r="A60" s="244"/>
      <c r="B60" s="245"/>
      <c r="D60" s="880" t="s">
        <v>94</v>
      </c>
      <c r="E60" s="881"/>
      <c r="F60" s="249">
        <f>Input!E6</f>
        <v>0</v>
      </c>
      <c r="G60" s="249">
        <f>Input!F6</f>
        <v>0</v>
      </c>
      <c r="H60" s="249">
        <f>Input!G6</f>
        <v>0</v>
      </c>
      <c r="I60" s="303">
        <f>Input!H6</f>
        <v>0</v>
      </c>
      <c r="J60" s="303">
        <f>Input!I6</f>
        <v>0</v>
      </c>
      <c r="K60" s="303">
        <f>Input!J6</f>
        <v>0</v>
      </c>
      <c r="L60" s="303">
        <f>Input!K6</f>
        <v>0</v>
      </c>
      <c r="M60" s="303">
        <f>Input!L6</f>
        <v>0</v>
      </c>
      <c r="N60" s="303">
        <f>Input!M6</f>
        <v>0</v>
      </c>
      <c r="O60" s="303">
        <f>Input!N6</f>
        <v>0</v>
      </c>
      <c r="P60" s="303">
        <f>Input!O6</f>
        <v>0</v>
      </c>
      <c r="Q60" s="303">
        <f>Input!P6</f>
        <v>0</v>
      </c>
      <c r="R60" s="249">
        <f>Input!Q6</f>
        <v>0</v>
      </c>
      <c r="S60" s="249">
        <f>Input!R6</f>
        <v>0</v>
      </c>
      <c r="T60" s="249">
        <f>Input!S6</f>
        <v>0</v>
      </c>
      <c r="U60" s="250">
        <f>Input!T6</f>
        <v>0</v>
      </c>
    </row>
    <row r="61" spans="1:23" s="246" customFormat="1" ht="30" customHeight="1" x14ac:dyDescent="0.2">
      <c r="A61" s="244"/>
      <c r="B61" s="245"/>
      <c r="D61" s="847" t="s">
        <v>96</v>
      </c>
      <c r="E61" s="848"/>
      <c r="F61" s="241">
        <f>F82</f>
        <v>8.6449999999999996</v>
      </c>
      <c r="G61" s="241">
        <f t="shared" ref="G61:U61" si="1">G82</f>
        <v>8.5455999999999985</v>
      </c>
      <c r="H61" s="241">
        <f t="shared" si="1"/>
        <v>8.4461999999999975</v>
      </c>
      <c r="I61" s="241">
        <f t="shared" si="1"/>
        <v>8.3467999999999982</v>
      </c>
      <c r="J61" s="241">
        <f t="shared" si="1"/>
        <v>8.247399999999999</v>
      </c>
      <c r="K61" s="241">
        <f t="shared" si="1"/>
        <v>8.1479999999999997</v>
      </c>
      <c r="L61" s="241">
        <f t="shared" si="1"/>
        <v>8.0510000000000002</v>
      </c>
      <c r="M61" s="241">
        <f t="shared" si="1"/>
        <v>7.9539999999999997</v>
      </c>
      <c r="N61" s="241">
        <f t="shared" si="1"/>
        <v>7.8569999999999993</v>
      </c>
      <c r="O61" s="241">
        <f t="shared" si="1"/>
        <v>7.7600000000000007</v>
      </c>
      <c r="P61" s="241">
        <f t="shared" si="1"/>
        <v>7.6630000000000003</v>
      </c>
      <c r="Q61" s="241">
        <f t="shared" si="1"/>
        <v>7.5991999999999997</v>
      </c>
      <c r="R61" s="241">
        <f t="shared" si="1"/>
        <v>7.5353999999999992</v>
      </c>
      <c r="S61" s="241">
        <f t="shared" si="1"/>
        <v>7.4715999999999987</v>
      </c>
      <c r="T61" s="241">
        <f t="shared" si="1"/>
        <v>7.4077999999999999</v>
      </c>
      <c r="U61" s="638">
        <f t="shared" si="1"/>
        <v>7.3439999999999994</v>
      </c>
    </row>
    <row r="62" spans="1:23" s="233" customFormat="1" ht="30" customHeight="1" thickBot="1" x14ac:dyDescent="0.25">
      <c r="A62" s="231"/>
      <c r="B62" s="232"/>
      <c r="D62" s="855" t="s">
        <v>100</v>
      </c>
      <c r="E62" s="856"/>
      <c r="F62" s="242">
        <f>E19</f>
        <v>40</v>
      </c>
      <c r="G62" s="242">
        <f>$F$62*(1-$E$23)^(G59-$F$59)</f>
        <v>39.718049569369889</v>
      </c>
      <c r="H62" s="242">
        <f t="shared" ref="H62:U62" si="2">$F$62*(1-$E$23)^(H59-$F$59)</f>
        <v>39.43808653987309</v>
      </c>
      <c r="I62" s="242">
        <f t="shared" si="2"/>
        <v>39.160096902794464</v>
      </c>
      <c r="J62" s="242">
        <f t="shared" si="2"/>
        <v>38.884066748162972</v>
      </c>
      <c r="K62" s="242">
        <f t="shared" si="2"/>
        <v>38.60998226405561</v>
      </c>
      <c r="L62" s="242">
        <f t="shared" si="2"/>
        <v>38.337829735906325</v>
      </c>
      <c r="M62" s="242">
        <f t="shared" si="2"/>
        <v>38.067595545819756</v>
      </c>
      <c r="N62" s="242">
        <f t="shared" si="2"/>
        <v>37.799266171889833</v>
      </c>
      <c r="O62" s="242">
        <f t="shared" si="2"/>
        <v>37.532828187523172</v>
      </c>
      <c r="P62" s="242">
        <f t="shared" si="2"/>
        <v>37.268268260767215</v>
      </c>
      <c r="Q62" s="242">
        <f t="shared" si="2"/>
        <v>37.005573153643169</v>
      </c>
      <c r="R62" s="242">
        <f t="shared" si="2"/>
        <v>36.744729721483573</v>
      </c>
      <c r="S62" s="242">
        <f t="shared" si="2"/>
        <v>36.485724912274591</v>
      </c>
      <c r="T62" s="242">
        <f t="shared" si="2"/>
        <v>36.228545766002902</v>
      </c>
      <c r="U62" s="243">
        <f t="shared" si="2"/>
        <v>35.97317941400722</v>
      </c>
      <c r="V62" s="353"/>
      <c r="W62" s="355"/>
    </row>
    <row r="63" spans="1:23" s="246" customFormat="1" ht="30" customHeight="1" thickTop="1" x14ac:dyDescent="0.2">
      <c r="A63" s="244"/>
      <c r="B63" s="245"/>
      <c r="D63" s="876" t="s">
        <v>34</v>
      </c>
      <c r="E63" s="877"/>
      <c r="F63" s="247">
        <f>Input!E7</f>
        <v>0</v>
      </c>
      <c r="G63" s="247">
        <f>Input!F7</f>
        <v>0</v>
      </c>
      <c r="H63" s="247">
        <f>Input!G7</f>
        <v>0</v>
      </c>
      <c r="I63" s="247">
        <f>Input!H7</f>
        <v>0</v>
      </c>
      <c r="J63" s="247">
        <f>Input!I7</f>
        <v>0</v>
      </c>
      <c r="K63" s="247">
        <f>Input!J7</f>
        <v>0</v>
      </c>
      <c r="L63" s="247">
        <f>Input!K7</f>
        <v>0</v>
      </c>
      <c r="M63" s="247">
        <f>Input!L7</f>
        <v>0</v>
      </c>
      <c r="N63" s="247">
        <f>Input!M7</f>
        <v>0</v>
      </c>
      <c r="O63" s="247">
        <f>Input!N7</f>
        <v>0</v>
      </c>
      <c r="P63" s="247">
        <f>Input!O7</f>
        <v>0</v>
      </c>
      <c r="Q63" s="247">
        <f>Input!P7</f>
        <v>0</v>
      </c>
      <c r="R63" s="247">
        <f>Input!Q7</f>
        <v>0</v>
      </c>
      <c r="S63" s="247">
        <f>Input!R7</f>
        <v>0</v>
      </c>
      <c r="T63" s="247">
        <f>Input!S7</f>
        <v>0</v>
      </c>
      <c r="U63" s="248">
        <f>Input!T7</f>
        <v>0</v>
      </c>
      <c r="V63" s="352"/>
      <c r="W63" s="354"/>
    </row>
    <row r="64" spans="1:23" s="233" customFormat="1" ht="30" customHeight="1" x14ac:dyDescent="0.2">
      <c r="A64" s="231"/>
      <c r="B64" s="232"/>
      <c r="D64" s="847" t="s">
        <v>99</v>
      </c>
      <c r="E64" s="848"/>
      <c r="F64" s="241">
        <f>F86</f>
        <v>13.033999999999999</v>
      </c>
      <c r="G64" s="241">
        <f t="shared" ref="G64:U64" si="3">G86</f>
        <v>12.917</v>
      </c>
      <c r="H64" s="241">
        <f t="shared" si="3"/>
        <v>12.8</v>
      </c>
      <c r="I64" s="241">
        <f t="shared" si="3"/>
        <v>12.683</v>
      </c>
      <c r="J64" s="241">
        <f t="shared" si="3"/>
        <v>12.565999999999999</v>
      </c>
      <c r="K64" s="241">
        <f t="shared" si="3"/>
        <v>12.449</v>
      </c>
      <c r="L64" s="241">
        <f t="shared" si="3"/>
        <v>12.391099999999998</v>
      </c>
      <c r="M64" s="241">
        <f t="shared" si="3"/>
        <v>12.333200000000001</v>
      </c>
      <c r="N64" s="241">
        <f t="shared" si="3"/>
        <v>12.275300000000001</v>
      </c>
      <c r="O64" s="241">
        <f t="shared" si="3"/>
        <v>12.2174</v>
      </c>
      <c r="P64" s="241">
        <f t="shared" si="3"/>
        <v>12.1595</v>
      </c>
      <c r="Q64" s="241">
        <f t="shared" si="3"/>
        <v>12.0847</v>
      </c>
      <c r="R64" s="241">
        <f t="shared" si="3"/>
        <v>12.0099</v>
      </c>
      <c r="S64" s="241">
        <f t="shared" si="3"/>
        <v>11.9351</v>
      </c>
      <c r="T64" s="241">
        <f t="shared" si="3"/>
        <v>11.860300000000001</v>
      </c>
      <c r="U64" s="638">
        <f t="shared" si="3"/>
        <v>11.785499999999999</v>
      </c>
      <c r="V64" s="351"/>
      <c r="W64" s="355"/>
    </row>
    <row r="65" spans="1:23" s="233" customFormat="1" ht="30" customHeight="1" thickBot="1" x14ac:dyDescent="0.25">
      <c r="A65" s="231"/>
      <c r="B65" s="232"/>
      <c r="D65" s="855" t="s">
        <v>101</v>
      </c>
      <c r="E65" s="856"/>
      <c r="F65" s="242">
        <f>E21</f>
        <v>50</v>
      </c>
      <c r="G65" s="242">
        <f>$F$65*(1-$E$23)^(G59-$F$59)</f>
        <v>49.647561961712363</v>
      </c>
      <c r="H65" s="242">
        <f t="shared" ref="H65:U65" si="4">$F$65*(1-$E$23)^(H59-$F$59)</f>
        <v>49.297608174841365</v>
      </c>
      <c r="I65" s="242">
        <f t="shared" si="4"/>
        <v>48.950121128493087</v>
      </c>
      <c r="J65" s="242">
        <f t="shared" si="4"/>
        <v>48.605083435203717</v>
      </c>
      <c r="K65" s="242">
        <f t="shared" si="4"/>
        <v>48.262477830069514</v>
      </c>
      <c r="L65" s="242">
        <f t="shared" si="4"/>
        <v>47.922287169882907</v>
      </c>
      <c r="M65" s="242">
        <f t="shared" si="4"/>
        <v>47.584494432274695</v>
      </c>
      <c r="N65" s="242">
        <f t="shared" si="4"/>
        <v>47.249082714862297</v>
      </c>
      <c r="O65" s="242">
        <f t="shared" si="4"/>
        <v>46.916035234403964</v>
      </c>
      <c r="P65" s="242">
        <f t="shared" si="4"/>
        <v>46.585335325959022</v>
      </c>
      <c r="Q65" s="242">
        <f t="shared" si="4"/>
        <v>46.256966442053965</v>
      </c>
      <c r="R65" s="242">
        <f t="shared" si="4"/>
        <v>45.930912151854471</v>
      </c>
      <c r="S65" s="242">
        <f t="shared" si="4"/>
        <v>45.607156140343243</v>
      </c>
      <c r="T65" s="242">
        <f t="shared" si="4"/>
        <v>45.285682207503633</v>
      </c>
      <c r="U65" s="243">
        <f t="shared" si="4"/>
        <v>44.966474267509028</v>
      </c>
    </row>
    <row r="66" spans="1:23" s="240" customFormat="1" ht="30" customHeight="1" thickTop="1" x14ac:dyDescent="0.2">
      <c r="A66" s="238"/>
      <c r="B66" s="239"/>
      <c r="D66" s="849" t="s">
        <v>105</v>
      </c>
      <c r="E66" s="850"/>
      <c r="F66" s="101">
        <f>(F68*F60+F69*F63)*Input!$E$46</f>
        <v>0</v>
      </c>
      <c r="G66" s="101">
        <f>(G68*G60+G69*G63)*Input!$E$46</f>
        <v>0</v>
      </c>
      <c r="H66" s="101">
        <f>(H68*H60+H69*H63)*Input!$E$46</f>
        <v>0</v>
      </c>
      <c r="I66" s="101">
        <f>(I68*I60+I69*I63)*Input!$E$46</f>
        <v>0</v>
      </c>
      <c r="J66" s="101">
        <f>(J68*J60+J69*J63)*Input!$E$46</f>
        <v>0</v>
      </c>
      <c r="K66" s="101">
        <f>(K68*K60+K69*K63)*Input!$E$46</f>
        <v>0</v>
      </c>
      <c r="L66" s="101">
        <f>(L68*L60+L69*L63)*Input!$E$46</f>
        <v>0</v>
      </c>
      <c r="M66" s="101">
        <f>(M68*M60+M69*M63)*Input!$E$46</f>
        <v>0</v>
      </c>
      <c r="N66" s="101">
        <f>(N68*N60+N69*N63)*Input!$E$46</f>
        <v>0</v>
      </c>
      <c r="O66" s="101">
        <f>(O68*O60+O69*O63)*Input!$E$46</f>
        <v>0</v>
      </c>
      <c r="P66" s="101">
        <f>(P68*P60+P69*P63)*Input!$E$46</f>
        <v>0</v>
      </c>
      <c r="Q66" s="101">
        <f>(Q68*Q60+Q69*Q63)*Input!$E$46</f>
        <v>0</v>
      </c>
      <c r="R66" s="101">
        <f>(R68*R60+R69*R63)*Input!$E$46</f>
        <v>0</v>
      </c>
      <c r="S66" s="101">
        <f>(S68*S60+S69*S63)*Input!$E$46</f>
        <v>0</v>
      </c>
      <c r="T66" s="101">
        <f>(T68*T60+T69*T63)*Input!$E$46</f>
        <v>0</v>
      </c>
      <c r="U66" s="102">
        <f>(U68*U60+U69*U63)*Input!$E$46</f>
        <v>0</v>
      </c>
      <c r="V66" s="251"/>
      <c r="W66" s="251"/>
    </row>
    <row r="67" spans="1:23" s="240" customFormat="1" ht="30" customHeight="1" x14ac:dyDescent="0.2">
      <c r="A67" s="238"/>
      <c r="B67" s="239"/>
      <c r="D67" s="878" t="s">
        <v>106</v>
      </c>
      <c r="E67" s="879"/>
      <c r="F67" s="103">
        <f t="shared" ref="F67:U67" si="5">F66*$E$25</f>
        <v>0</v>
      </c>
      <c r="G67" s="103">
        <f t="shared" si="5"/>
        <v>0</v>
      </c>
      <c r="H67" s="103">
        <f t="shared" si="5"/>
        <v>0</v>
      </c>
      <c r="I67" s="117">
        <f t="shared" si="5"/>
        <v>0</v>
      </c>
      <c r="J67" s="117">
        <f t="shared" si="5"/>
        <v>0</v>
      </c>
      <c r="K67" s="117">
        <f t="shared" si="5"/>
        <v>0</v>
      </c>
      <c r="L67" s="117">
        <f t="shared" si="5"/>
        <v>0</v>
      </c>
      <c r="M67" s="103">
        <f t="shared" si="5"/>
        <v>0</v>
      </c>
      <c r="N67" s="103">
        <f t="shared" si="5"/>
        <v>0</v>
      </c>
      <c r="O67" s="103">
        <f t="shared" si="5"/>
        <v>0</v>
      </c>
      <c r="P67" s="103">
        <f t="shared" si="5"/>
        <v>0</v>
      </c>
      <c r="Q67" s="103">
        <f t="shared" si="5"/>
        <v>0</v>
      </c>
      <c r="R67" s="117">
        <f t="shared" si="5"/>
        <v>0</v>
      </c>
      <c r="S67" s="117">
        <f t="shared" si="5"/>
        <v>0</v>
      </c>
      <c r="T67" s="117">
        <f t="shared" si="5"/>
        <v>0</v>
      </c>
      <c r="U67" s="145">
        <f t="shared" si="5"/>
        <v>0</v>
      </c>
    </row>
    <row r="68" spans="1:23" s="177" customFormat="1" ht="30" customHeight="1" x14ac:dyDescent="0.2">
      <c r="A68" s="236"/>
      <c r="B68" s="237"/>
      <c r="D68" s="847" t="s">
        <v>157</v>
      </c>
      <c r="E68" s="848"/>
      <c r="F68" s="292">
        <f>(F62*($E$11+$E$13)-F61*($H$15*(1-$E$37)^(F59-$F$59)))*('Cost analysis'!F$114/100)</f>
        <v>67487.301587301597</v>
      </c>
      <c r="G68" s="292">
        <f>(G62*($E$11+$E$13)-G61*($H$15*(1-$E$37)^(G59-$F$59)))*('Cost analysis'!G$114/100)</f>
        <v>67945.092342206568</v>
      </c>
      <c r="H68" s="292">
        <f>(H62*($E$11+$E$13)-H61*($H$15*(1-$E$37)^(H59-$F$59)))*('Cost analysis'!H$114/100)</f>
        <v>68395.858402557875</v>
      </c>
      <c r="I68" s="292">
        <f>(I62*($E$11+$E$13)-I61*($H$15*(1-$E$37)^(I59-$F$59)))*('Cost analysis'!I$114/100)</f>
        <v>68839.656443230211</v>
      </c>
      <c r="J68" s="292">
        <f>(J62*($E$11+$E$13)-J61*($H$15*(1-$E$37)^(J59-$F$59)))*('Cost analysis'!J$114/100)</f>
        <v>69276.54282737516</v>
      </c>
      <c r="K68" s="292">
        <f>(K62*($E$11+$E$13)-K61*($H$15*(1-$E$37)^(K59-$F$59)))*('Cost analysis'!K$114/100)</f>
        <v>69706.573607025755</v>
      </c>
      <c r="L68" s="292">
        <f>(L62*($E$11+$E$13)-L61*($H$15*(1-$E$37)^(L59-$F$59)))*('Cost analysis'!L$114/100)</f>
        <v>70209.497483400395</v>
      </c>
      <c r="M68" s="292">
        <f>(M62*($E$11+$E$13)-M61*($H$15*(1-$E$37)^(M59-$F$59)))*('Cost analysis'!M$114/100)</f>
        <v>70704.822000136206</v>
      </c>
      <c r="N68" s="292">
        <f>(N62*($E$11+$E$13)-N61*($H$15*(1-$E$37)^(N59-$F$59)))*('Cost analysis'!N$114/100)</f>
        <v>71192.608479587914</v>
      </c>
      <c r="O68" s="292">
        <f>(O62*($E$11+$E$13)-O61*($H$15*(1-$E$37)^(O59-$F$59)))*('Cost analysis'!O$114/100)</f>
        <v>71672.917903960726</v>
      </c>
      <c r="P68" s="292">
        <f>(P62*($E$11+$E$13)-P61*($H$15*(1-$E$37)^(P59-$F$59)))*('Cost analysis'!P$114/100)</f>
        <v>72145.810916024158</v>
      </c>
      <c r="Q68" s="292">
        <f>(Q62*($E$11+$E$13)-Q61*($H$15*(1-$E$37)^(Q59-$F$59)))*('Cost analysis'!Q$114/100)</f>
        <v>72105.427259293807</v>
      </c>
      <c r="R68" s="292">
        <f>(R62*($E$11+$E$13)-R61*($H$15*(1-$E$37)^(R59-$F$59)))*('Cost analysis'!R$114/100)</f>
        <v>72062.892388111708</v>
      </c>
      <c r="S68" s="292">
        <f>(S62*($E$11+$E$13)-S61*($H$15*(1-$E$37)^(S59-$F$59)))*('Cost analysis'!S$114/100)</f>
        <v>72018.232545302526</v>
      </c>
      <c r="T68" s="292">
        <f>(T62*($E$11+$E$13)-T61*($H$15*(1-$E$37)^(T59-$F$59)))*('Cost analysis'!T$114/100)</f>
        <v>71971.47375354523</v>
      </c>
      <c r="U68" s="293">
        <f>(U62*($E$11+$E$13)-U61*($H$15*(1-$E$37)^(U59-$F$59)))*('Cost analysis'!U$114/100)</f>
        <v>71922.641816870164</v>
      </c>
    </row>
    <row r="69" spans="1:23" s="177" customFormat="1" ht="30" customHeight="1" thickBot="1" x14ac:dyDescent="0.25">
      <c r="A69" s="236"/>
      <c r="B69" s="237"/>
      <c r="D69" s="855" t="s">
        <v>158</v>
      </c>
      <c r="E69" s="856"/>
      <c r="F69" s="294">
        <f>(F65*($E$11+$E$13)-F64*($H$15*(1-$E$37)^(F59-$F$59)))*('Cost analysis'!F$114/100)</f>
        <v>84359.126984126982</v>
      </c>
      <c r="G69" s="294">
        <f>(G65*($E$11+$E$13)-G64*($H$15*(1-$E$37)^(G59-$F$59)))*('Cost analysis'!G$114/100)</f>
        <v>84931.36542775821</v>
      </c>
      <c r="H69" s="294">
        <f>(H65*($E$11+$E$13)-H64*($H$15*(1-$E$37)^(H59-$F$59)))*('Cost analysis'!H$114/100)</f>
        <v>85494.823003197351</v>
      </c>
      <c r="I69" s="294">
        <f>(I65*($E$11+$E$13)-I64*($H$15*(1-$E$37)^(I59-$F$59)))*('Cost analysis'!I$114/100)</f>
        <v>86049.570554037768</v>
      </c>
      <c r="J69" s="294">
        <f>(J65*($E$11+$E$13)-J64*($H$15*(1-$E$37)^(J59-$F$59)))*('Cost analysis'!J$114/100)</f>
        <v>86595.678534218954</v>
      </c>
      <c r="K69" s="294">
        <f>(K65*($E$11+$E$13)-K64*($H$15*(1-$E$37)^(K59-$F$59)))*('Cost analysis'!K$114/100)</f>
        <v>87133.217008782187</v>
      </c>
      <c r="L69" s="294">
        <f>(L65*($E$11+$E$13)-L64*($H$15*(1-$E$37)^(L59-$F$59)))*('Cost analysis'!L$114/100)</f>
        <v>87761.871854250494</v>
      </c>
      <c r="M69" s="294">
        <f>(M65*($E$11+$E$13)-M64*($H$15*(1-$E$37)^(M59-$F$59)))*('Cost analysis'!M$114/100)</f>
        <v>88381.027500170254</v>
      </c>
      <c r="N69" s="294">
        <f>(N65*($E$11+$E$13)-N64*($H$15*(1-$E$37)^(N59-$F$59)))*('Cost analysis'!N$114/100)</f>
        <v>88990.7605994849</v>
      </c>
      <c r="O69" s="294">
        <f>(O65*($E$11+$E$13)-O64*($H$15*(1-$E$37)^(O59-$F$59)))*('Cost analysis'!O$114/100)</f>
        <v>89591.147379950897</v>
      </c>
      <c r="P69" s="294">
        <f>(P65*($E$11+$E$13)-P64*($H$15*(1-$E$37)^(P59-$F$59)))*('Cost analysis'!P$114/100)</f>
        <v>90182.263645030194</v>
      </c>
      <c r="Q69" s="294">
        <f>(Q65*($E$11+$E$13)-Q64*($H$15*(1-$E$37)^(Q59-$F$59)))*('Cost analysis'!Q$114/100)</f>
        <v>90131.784074117269</v>
      </c>
      <c r="R69" s="294">
        <f>(R65*($E$11+$E$13)-R64*($H$15*(1-$E$37)^(R59-$F$59)))*('Cost analysis'!R$114/100)</f>
        <v>90078.615485139671</v>
      </c>
      <c r="S69" s="294">
        <f>(S65*($E$11+$E$13)-S64*($H$15*(1-$E$37)^(S59-$F$59)))*('Cost analysis'!S$114/100)</f>
        <v>90022.790681628161</v>
      </c>
      <c r="T69" s="294">
        <f>(T65*($E$11+$E$13)-T64*($H$15*(1-$E$37)^(T59-$F$59)))*('Cost analysis'!T$114/100)</f>
        <v>89964.342191931559</v>
      </c>
      <c r="U69" s="295">
        <f>(U65*($E$11+$E$13)-U64*($H$15*(1-$E$37)^(U59-$F$59)))*('Cost analysis'!U$114/100)</f>
        <v>89903.302271087712</v>
      </c>
    </row>
    <row r="70" spans="1:23" s="177" customFormat="1" ht="30" customHeight="1" thickTop="1" x14ac:dyDescent="0.2">
      <c r="A70" s="236"/>
      <c r="B70" s="237"/>
      <c r="D70" s="849" t="s">
        <v>175</v>
      </c>
      <c r="E70" s="850"/>
      <c r="F70" s="101">
        <f>(F71*F60+F72*F63)*Input!$E$46</f>
        <v>0</v>
      </c>
      <c r="G70" s="101">
        <f>(G71*G60+G72*G63)*Input!$E$46</f>
        <v>0</v>
      </c>
      <c r="H70" s="101">
        <f>(H71*H60+H72*H63)*Input!$E$46</f>
        <v>0</v>
      </c>
      <c r="I70" s="101">
        <f>(I71*I60+I72*I63)*Input!$E$46</f>
        <v>0</v>
      </c>
      <c r="J70" s="101">
        <f>(J71*J60+J72*J63)*Input!$E$46</f>
        <v>0</v>
      </c>
      <c r="K70" s="101">
        <f>(K71*K60+K72*K63)*Input!$E$46</f>
        <v>0</v>
      </c>
      <c r="L70" s="101">
        <f>(L71*L60+L72*L63)*Input!$E$46</f>
        <v>0</v>
      </c>
      <c r="M70" s="101">
        <f>(M71*M60+M72*M63)*Input!$E$46</f>
        <v>0</v>
      </c>
      <c r="N70" s="101">
        <f>(N71*N60+N72*N63)*Input!$E$46</f>
        <v>0</v>
      </c>
      <c r="O70" s="101">
        <f>(O71*O60+O72*O63)*Input!$E$46</f>
        <v>0</v>
      </c>
      <c r="P70" s="101">
        <f>(P71*P60+P72*P63)*Input!$E$46</f>
        <v>0</v>
      </c>
      <c r="Q70" s="101">
        <f>(Q71*Q60+Q72*Q63)*Input!$E$46</f>
        <v>0</v>
      </c>
      <c r="R70" s="101">
        <f>(R71*R60+R72*R63)*Input!$E$46</f>
        <v>0</v>
      </c>
      <c r="S70" s="101">
        <f>(S71*S60+S72*S63)*Input!$E$46</f>
        <v>0</v>
      </c>
      <c r="T70" s="101">
        <f>(T71*T60+T72*T63)*Input!$E$46</f>
        <v>0</v>
      </c>
      <c r="U70" s="102">
        <f>(U71*U60+U72*U63)*Input!$E$46</f>
        <v>0</v>
      </c>
    </row>
    <row r="71" spans="1:23" s="177" customFormat="1" ht="30" customHeight="1" x14ac:dyDescent="0.2">
      <c r="A71" s="236"/>
      <c r="B71" s="237"/>
      <c r="D71" s="847" t="s">
        <v>169</v>
      </c>
      <c r="E71" s="848"/>
      <c r="F71" s="292">
        <f>$H$46*F62*'Cost analysis'!F114/100</f>
        <v>617.34285714285716</v>
      </c>
      <c r="G71" s="292">
        <f>$H$46*G62*'Cost analysis'!G114/100</f>
        <v>621.53051683526655</v>
      </c>
      <c r="H71" s="292">
        <f>$H$46*H62*'Cost analysis'!H114/100</f>
        <v>625.65391784634926</v>
      </c>
      <c r="I71" s="292">
        <f>$H$46*I62*'Cost analysis'!I114/100</f>
        <v>629.71357861184345</v>
      </c>
      <c r="J71" s="292">
        <f>$H$46*J62*'Cost analysis'!J114/100</f>
        <v>633.71001471598913</v>
      </c>
      <c r="K71" s="292">
        <f>$H$46*K62*'Cost analysis'!K114/100</f>
        <v>637.64373889705519</v>
      </c>
      <c r="L71" s="292">
        <f>$H$46*L62*'Cost analysis'!L114/100</f>
        <v>642.24425566782668</v>
      </c>
      <c r="M71" s="292">
        <f>$H$46*M62*'Cost analysis'!M114/100</f>
        <v>646.77525698485249</v>
      </c>
      <c r="N71" s="292">
        <f>$H$46*N62*'Cost analysis'!N114/100</f>
        <v>651.23730379688618</v>
      </c>
      <c r="O71" s="292">
        <f>$H$46*O62*'Cost analysis'!O114/100</f>
        <v>655.63095394114896</v>
      </c>
      <c r="P71" s="292">
        <f>$H$46*P62*'Cost analysis'!P114/100</f>
        <v>659.9567621498602</v>
      </c>
      <c r="Q71" s="292">
        <f>$H$46*Q62*'Cost analysis'!Q114/100</f>
        <v>659.58735099485159</v>
      </c>
      <c r="R71" s="292">
        <f>$H$46*R62*'Cost analysis'!R114/100</f>
        <v>659.19826151748089</v>
      </c>
      <c r="S71" s="292">
        <f>$H$46*S62*'Cost analysis'!S114/100</f>
        <v>658.78973377506259</v>
      </c>
      <c r="T71" s="292">
        <f>$H$46*T62*'Cost analysis'!T114/100</f>
        <v>658.36200581111859</v>
      </c>
      <c r="U71" s="293">
        <f>$H$46*U62*'Cost analysis'!U114/100</f>
        <v>657.91531366907452</v>
      </c>
    </row>
    <row r="72" spans="1:23" s="177" customFormat="1" ht="30" customHeight="1" thickBot="1" x14ac:dyDescent="0.25">
      <c r="A72" s="236"/>
      <c r="B72" s="237"/>
      <c r="D72" s="847" t="s">
        <v>170</v>
      </c>
      <c r="E72" s="848"/>
      <c r="F72" s="294">
        <f>$H$46*F65*'Cost analysis'!F114/100</f>
        <v>771.67857142857144</v>
      </c>
      <c r="G72" s="294">
        <f>$H$46*G65*'Cost analysis'!G114/100</f>
        <v>776.91314604408331</v>
      </c>
      <c r="H72" s="294">
        <f>$H$46*H65*'Cost analysis'!H114/100</f>
        <v>782.06739730793652</v>
      </c>
      <c r="I72" s="294">
        <f>$H$46*I65*'Cost analysis'!I114/100</f>
        <v>787.14197326480439</v>
      </c>
      <c r="J72" s="294">
        <f>$H$46*J65*'Cost analysis'!J114/100</f>
        <v>792.13751839498639</v>
      </c>
      <c r="K72" s="294">
        <f>$H$46*K65*'Cost analysis'!K114/100</f>
        <v>797.0546736213189</v>
      </c>
      <c r="L72" s="294">
        <f>$H$46*L65*'Cost analysis'!L114/100</f>
        <v>802.80531958478332</v>
      </c>
      <c r="M72" s="294">
        <f>$H$46*M65*'Cost analysis'!M114/100</f>
        <v>808.46907123106541</v>
      </c>
      <c r="N72" s="294">
        <f>$H$46*N65*'Cost analysis'!N114/100</f>
        <v>814.04662974610778</v>
      </c>
      <c r="O72" s="294">
        <f>$H$46*O65*'Cost analysis'!O114/100</f>
        <v>819.538692426436</v>
      </c>
      <c r="P72" s="294">
        <f>$H$46*P65*'Cost analysis'!P114/100</f>
        <v>824.9459526873253</v>
      </c>
      <c r="Q72" s="294">
        <f>$H$46*Q65*'Cost analysis'!Q114/100</f>
        <v>824.48418874356446</v>
      </c>
      <c r="R72" s="294">
        <f>$H$46*R65*'Cost analysis'!R114/100</f>
        <v>823.99782689685117</v>
      </c>
      <c r="S72" s="294">
        <f>$H$46*S65*'Cost analysis'!S114/100</f>
        <v>823.48716721882806</v>
      </c>
      <c r="T72" s="294">
        <f>$H$46*T65*'Cost analysis'!T114/100</f>
        <v>822.9525072638985</v>
      </c>
      <c r="U72" s="295">
        <f>$H$46*U65*'Cost analysis'!U114/100</f>
        <v>822.39414208634332</v>
      </c>
    </row>
    <row r="73" spans="1:23" s="240" customFormat="1" ht="30" customHeight="1" thickTop="1" x14ac:dyDescent="0.2">
      <c r="A73" s="238"/>
      <c r="B73" s="239"/>
      <c r="D73" s="849" t="s">
        <v>156</v>
      </c>
      <c r="E73" s="850"/>
      <c r="F73" s="101">
        <f>(AVERAGE(F75:Q75)*F60+AVERAGE(F76:Q76)*F63)*Input!$E$46*$E$9</f>
        <v>0</v>
      </c>
      <c r="G73" s="101">
        <f>(AVERAGE(G75:R75)*G60+AVERAGE(G76:R76)*G63)*Input!$E$46*$E$9</f>
        <v>0</v>
      </c>
      <c r="H73" s="101">
        <f>(AVERAGE(H75:S75)*H60+AVERAGE(H76:S76)*H63)*Input!$E$46*$E$9</f>
        <v>0</v>
      </c>
      <c r="I73" s="101">
        <f>(AVERAGE(I75:T75)*I60+AVERAGE(I76:T76)*I63)*Input!$E$46*$E$9</f>
        <v>0</v>
      </c>
      <c r="J73" s="101">
        <f>(AVERAGE(J75:U75)*J60+AVERAGE(J76:U76)*J63)*Input!$E$46*$E$9</f>
        <v>0</v>
      </c>
      <c r="K73" s="101">
        <f>(AVERAGE(K75:U75)*K60+AVERAGE(K76:U76)*K63)*Input!$E$46*$E$9</f>
        <v>0</v>
      </c>
      <c r="L73" s="101">
        <f>(AVERAGE(L75:U75)*L60+AVERAGE(L76:U76)*L63)*Input!$E$46*$E$9</f>
        <v>0</v>
      </c>
      <c r="M73" s="101">
        <f>(AVERAGE(M75:U75)*M60+AVERAGE(M76:U76)*M63)*Input!$E$46*$E$9</f>
        <v>0</v>
      </c>
      <c r="N73" s="101">
        <f>(AVERAGE(N75:U75)*N60+AVERAGE(N76:U76)*N63)*Input!$E$46*$E$9</f>
        <v>0</v>
      </c>
      <c r="O73" s="101">
        <f>(AVERAGE(O75:U75)*O60+AVERAGE(O76:U76)*O63)*Input!$E$46*$E$9</f>
        <v>0</v>
      </c>
      <c r="P73" s="101">
        <f>(AVERAGE(P75:U75)*P60+AVERAGE(P76:U76)*P63)*Input!$E$46*$E$9</f>
        <v>0</v>
      </c>
      <c r="Q73" s="101">
        <f>(AVERAGE(Q75:U75)*Q60+AVERAGE(Q76:U76)*Q63)*Input!$E$46*$E$9</f>
        <v>0</v>
      </c>
      <c r="R73" s="101">
        <f>(AVERAGE(R75:U75)*R60+AVERAGE(R76:U76)*R63)*Input!$E$46*$E$9</f>
        <v>0</v>
      </c>
      <c r="S73" s="101">
        <f>(AVERAGE(S75:U75)*S60+AVERAGE(S76:U76)*S63)*Input!$E$46*$E$9</f>
        <v>0</v>
      </c>
      <c r="T73" s="101">
        <f>(AVERAGE(T75:U75)*T60+AVERAGE(T76:U76)*T63)*Input!$E$46*$E$9</f>
        <v>0</v>
      </c>
      <c r="U73" s="102">
        <f>(AVERAGE(U75)*U60+AVERAGE(U76)*U63)*Input!$E$46*$E$9</f>
        <v>0</v>
      </c>
      <c r="V73" s="177"/>
      <c r="W73" s="251"/>
    </row>
    <row r="74" spans="1:23" s="240" customFormat="1" ht="30" customHeight="1" x14ac:dyDescent="0.2">
      <c r="A74" s="238"/>
      <c r="B74" s="239"/>
      <c r="D74" s="847" t="s">
        <v>163</v>
      </c>
      <c r="E74" s="848"/>
      <c r="F74" s="296">
        <f>'Price evolution'!F48/'Price evolution'!F44*'Environmental analysis'!$E$31*(1+'Environmental analysis'!$E$33)^('Environmental analysis'!F$59-'Environmental analysis'!$F$59)*'Environmental analysis'!F92/'Environmental analysis'!$F$92</f>
        <v>2.2086898395721919</v>
      </c>
      <c r="G74" s="296">
        <f>'Price evolution'!G48/'Price evolution'!G44*'Environmental analysis'!$E$31*(1+'Environmental analysis'!$E$33)^('Environmental analysis'!G$59-'Environmental analysis'!$F$59)*'Environmental analysis'!G92/'Environmental analysis'!$F$92</f>
        <v>2.0426848805758109</v>
      </c>
      <c r="H74" s="296">
        <f>'Price evolution'!H48/'Price evolution'!H44*'Environmental analysis'!$E$31*(1+'Environmental analysis'!$E$33)^('Environmental analysis'!H$59-'Environmental analysis'!$F$59)*'Environmental analysis'!H92/'Environmental analysis'!$F$92</f>
        <v>1.8890657507901405</v>
      </c>
      <c r="I74" s="296">
        <f>'Price evolution'!I48/'Price evolution'!I44*'Environmental analysis'!$E$31*(1+'Environmental analysis'!$E$33)^('Environmental analysis'!I$59-'Environmental analysis'!$F$59)*'Environmental analysis'!I92/'Environmental analysis'!$F$92</f>
        <v>1.746905893188307</v>
      </c>
      <c r="J74" s="296">
        <f>'Price evolution'!J48/'Price evolution'!J44*'Environmental analysis'!$E$31*(1+'Environmental analysis'!$E$33)^('Environmental analysis'!J$59-'Environmental analysis'!$F$59)*'Environmental analysis'!J92/'Environmental analysis'!$F$92</f>
        <v>1.6153488763434243</v>
      </c>
      <c r="K74" s="296">
        <f>'Price evolution'!K48/'Price evolution'!K44*'Environmental analysis'!$E$31*(1+'Environmental analysis'!$E$33)^('Environmental analysis'!K$59-'Environmental analysis'!$F$59)*'Environmental analysis'!K92/'Environmental analysis'!$F$92</f>
        <v>1.4936029773934905</v>
      </c>
      <c r="L74" s="296">
        <f>'Price evolution'!L48/'Price evolution'!L44*'Environmental analysis'!$E$31*(1+'Environmental analysis'!$E$33)^('Environmental analysis'!L$59-'Environmental analysis'!$F$59)*'Environmental analysis'!L92/'Environmental analysis'!$F$92</f>
        <v>1.3833887677036112</v>
      </c>
      <c r="M74" s="296">
        <f>'Price evolution'!M48/'Price evolution'!M44*'Environmental analysis'!$E$31*(1+'Environmental analysis'!$E$33)^('Environmental analysis'!M$59-'Environmental analysis'!$F$59)*'Environmental analysis'!M92/'Environmental analysis'!$F$92</f>
        <v>1.2812470920134726</v>
      </c>
      <c r="N74" s="296">
        <f>'Price evolution'!N48/'Price evolution'!N44*'Environmental analysis'!$E$31*(1+'Environmental analysis'!$E$33)^('Environmental analysis'!N$59-'Environmental analysis'!$F$59)*'Environmental analysis'!N92/'Environmental analysis'!$F$92</f>
        <v>1.1865845197044469</v>
      </c>
      <c r="O74" s="296">
        <f>'Price evolution'!O48/'Price evolution'!O44*'Environmental analysis'!$E$31*(1+'Environmental analysis'!$E$33)^('Environmental analysis'!O$59-'Environmental analysis'!$F$59)*'Environmental analysis'!O92/'Environmental analysis'!$F$92</f>
        <v>1.098851827481875</v>
      </c>
      <c r="P74" s="296">
        <f>'Price evolution'!P48/'Price evolution'!P44*'Environmental analysis'!$E$31*(1+'Environmental analysis'!$E$33)^('Environmental analysis'!P$59-'Environmental analysis'!$F$59)*'Environmental analysis'!P92/'Environmental analysis'!$F$92</f>
        <v>1.0175406314861324</v>
      </c>
      <c r="Q74" s="296">
        <f>'Price evolution'!Q48/'Price evolution'!Q44*'Environmental analysis'!$E$31*(1+'Environmental analysis'!$E$33)^('Environmental analysis'!Q$59-'Environmental analysis'!$F$59)*'Environmental analysis'!Q92/'Environmental analysis'!$F$92</f>
        <v>0.94585078677829826</v>
      </c>
      <c r="R74" s="296">
        <f>'Price evolution'!R48/'Price evolution'!R44*'Environmental analysis'!$E$31*(1+'Environmental analysis'!$E$33)^('Environmental analysis'!R$59-'Environmental analysis'!$F$59)*'Environmental analysis'!R92/'Environmental analysis'!$F$92</f>
        <v>0.87923602023943537</v>
      </c>
      <c r="S74" s="296">
        <f>'Price evolution'!S48/'Price evolution'!S44*'Environmental analysis'!$E$31*(1+'Environmental analysis'!$E$33)^('Environmental analysis'!S$59-'Environmental analysis'!$F$59)*'Environmental analysis'!S92/'Environmental analysis'!$F$92</f>
        <v>0.81733270723903917</v>
      </c>
      <c r="T74" s="296">
        <f>'Price evolution'!T48/'Price evolution'!T44*'Environmental analysis'!$E$31*(1+'Environmental analysis'!$E$33)^('Environmental analysis'!T$59-'Environmental analysis'!$F$59)*'Environmental analysis'!T92/'Environmental analysis'!$F$92</f>
        <v>0.75980378593183862</v>
      </c>
      <c r="U74" s="297">
        <f>'Price evolution'!U48/'Price evolution'!U44*'Environmental analysis'!$E$31*(1+'Environmental analysis'!$E$33)^('Environmental analysis'!U$59-'Environmental analysis'!$F$59)*'Environmental analysis'!U92/'Environmental analysis'!$F$92</f>
        <v>0.70633676358166042</v>
      </c>
      <c r="V74" s="177"/>
      <c r="W74" s="251"/>
    </row>
    <row r="75" spans="1:23" s="177" customFormat="1" ht="30" customHeight="1" x14ac:dyDescent="0.2">
      <c r="A75" s="236"/>
      <c r="B75" s="237"/>
      <c r="D75" s="847" t="s">
        <v>160</v>
      </c>
      <c r="E75" s="848"/>
      <c r="F75" s="292">
        <f>F74*F61*'Cost analysis'!F114/100</f>
        <v>10562.384280303027</v>
      </c>
      <c r="G75" s="292">
        <f>G74*G61*'Cost analysis'!G114/100</f>
        <v>9790.7119926094474</v>
      </c>
      <c r="H75" s="292">
        <f>H74*H61*'Cost analysis'!H114/100</f>
        <v>9072.407830711436</v>
      </c>
      <c r="I75" s="292">
        <f>I74*I61*'Cost analysis'!I114/100</f>
        <v>8403.9723407239726</v>
      </c>
      <c r="J75" s="292">
        <f>J74*J61*'Cost analysis'!J114/100</f>
        <v>7782.122799605997</v>
      </c>
      <c r="K75" s="292">
        <f>K74*K61*'Cost analysis'!K114/100</f>
        <v>7203.7807307493549</v>
      </c>
      <c r="L75" s="292">
        <f>L74*L61*'Cost analysis'!L114/100</f>
        <v>6687.4811792546507</v>
      </c>
      <c r="M75" s="292">
        <f>M74*M61*'Cost analysis'!M114/100</f>
        <v>6206.0065101922373</v>
      </c>
      <c r="N75" s="292">
        <f>N74*N61*'Cost analysis'!N114/100</f>
        <v>5757.144486722641</v>
      </c>
      <c r="O75" s="292">
        <f>O74*O61*'Cost analysis'!O114/100</f>
        <v>5338.8142562153444</v>
      </c>
      <c r="P75" s="292">
        <f>P74*P61*'Cost analysis'!P114/100</f>
        <v>4949.0592431412542</v>
      </c>
      <c r="Q75" s="292">
        <f>Q74*Q61*'Cost analysis'!Q114/100</f>
        <v>4591.8900887848249</v>
      </c>
      <c r="R75" s="292">
        <f>R74*R61*'Cost analysis'!R114/100</f>
        <v>4260.1861433169206</v>
      </c>
      <c r="S75" s="292">
        <f>S74*S61*'Cost analysis'!S114/100</f>
        <v>3952.1382834597989</v>
      </c>
      <c r="T75" s="292">
        <f>T74*T61*'Cost analysis'!T114/100</f>
        <v>3666.0666526929622</v>
      </c>
      <c r="U75" s="293">
        <f>U74*U61*'Cost analysis'!U114/100</f>
        <v>3400.4112745470102</v>
      </c>
    </row>
    <row r="76" spans="1:23" s="177" customFormat="1" ht="30" customHeight="1" thickBot="1" x14ac:dyDescent="0.25">
      <c r="A76" s="236"/>
      <c r="B76" s="237"/>
      <c r="D76" s="855" t="s">
        <v>161</v>
      </c>
      <c r="E76" s="856"/>
      <c r="F76" s="294">
        <f>F74*F64*'Cost analysis'!F114/100</f>
        <v>15924.825530303026</v>
      </c>
      <c r="G76" s="294">
        <f>G74*G64*'Cost analysis'!G114/100</f>
        <v>14799.034217437777</v>
      </c>
      <c r="H76" s="294">
        <f>H74*H64*'Cost analysis'!H114/100</f>
        <v>13749.001945621278</v>
      </c>
      <c r="I76" s="294">
        <f>I74*I64*'Cost analysis'!I114/100</f>
        <v>12769.873627905567</v>
      </c>
      <c r="J76" s="294">
        <f>J74*J64*'Cost analysis'!J114/100</f>
        <v>11857.088912851199</v>
      </c>
      <c r="K76" s="294">
        <f>K74*K64*'Cost analysis'!K114/100</f>
        <v>11006.365527380796</v>
      </c>
      <c r="L76" s="294">
        <f>L74*L64*'Cost analysis'!L114/100</f>
        <v>10292.54105580205</v>
      </c>
      <c r="M76" s="294">
        <f>M74*M64*'Cost analysis'!M114/100</f>
        <v>9622.82115809692</v>
      </c>
      <c r="N76" s="294">
        <f>N74*N64*'Cost analysis'!N114/100</f>
        <v>8994.6131752407346</v>
      </c>
      <c r="O76" s="294">
        <f>O74*O64*'Cost analysis'!O114/100</f>
        <v>8405.4676925109961</v>
      </c>
      <c r="P76" s="294">
        <f>P74*P64*'Cost analysis'!P114/100</f>
        <v>7853.0713646060376</v>
      </c>
      <c r="Q76" s="294">
        <f>Q74*Q64*'Cost analysis'!Q114/100</f>
        <v>7302.2968412382852</v>
      </c>
      <c r="R76" s="294">
        <f>R74*R64*'Cost analysis'!R114/100</f>
        <v>6789.8730741064692</v>
      </c>
      <c r="S76" s="294">
        <f>S74*S64*'Cost analysis'!S114/100</f>
        <v>6313.1277941700646</v>
      </c>
      <c r="T76" s="294">
        <f>T74*T64*'Cost analysis'!T114/100</f>
        <v>5869.57670576073</v>
      </c>
      <c r="U76" s="295">
        <f>U74*U64*'Cost analysis'!U114/100</f>
        <v>5456.910004925624</v>
      </c>
    </row>
    <row r="77" spans="1:23" ht="49.9" customHeight="1" thickTop="1" thickBot="1" x14ac:dyDescent="0.25">
      <c r="F77" s="262"/>
      <c r="H77" s="298" t="str">
        <f>IF(Input!E14="No","!!!!!!!! PLEASE SELECT ON SITE PRODUCTION METHOD FOR THE ENVIRONMENTAL ANALYSIS","")</f>
        <v>!!!!!!!! PLEASE SELECT ON SITE PRODUCTION METHOD FOR THE ENVIRONMENTAL ANALYSIS</v>
      </c>
    </row>
    <row r="78" spans="1:23" ht="30" customHeight="1" thickTop="1" x14ac:dyDescent="0.2">
      <c r="D78" s="65" t="s">
        <v>117</v>
      </c>
      <c r="E78" s="63" t="s">
        <v>119</v>
      </c>
      <c r="F78" s="63">
        <v>2015</v>
      </c>
      <c r="G78" s="63">
        <f t="shared" ref="G78:U78" si="6">F78+1</f>
        <v>2016</v>
      </c>
      <c r="H78" s="63">
        <f t="shared" si="6"/>
        <v>2017</v>
      </c>
      <c r="I78" s="63">
        <f t="shared" si="6"/>
        <v>2018</v>
      </c>
      <c r="J78" s="63">
        <f t="shared" si="6"/>
        <v>2019</v>
      </c>
      <c r="K78" s="63">
        <f t="shared" si="6"/>
        <v>2020</v>
      </c>
      <c r="L78" s="63">
        <f t="shared" si="6"/>
        <v>2021</v>
      </c>
      <c r="M78" s="63">
        <f t="shared" si="6"/>
        <v>2022</v>
      </c>
      <c r="N78" s="63">
        <f t="shared" si="6"/>
        <v>2023</v>
      </c>
      <c r="O78" s="63">
        <f t="shared" si="6"/>
        <v>2024</v>
      </c>
      <c r="P78" s="63">
        <f t="shared" si="6"/>
        <v>2025</v>
      </c>
      <c r="Q78" s="63">
        <f t="shared" si="6"/>
        <v>2026</v>
      </c>
      <c r="R78" s="63">
        <f t="shared" si="6"/>
        <v>2027</v>
      </c>
      <c r="S78" s="63">
        <f t="shared" si="6"/>
        <v>2028</v>
      </c>
      <c r="T78" s="63">
        <f t="shared" si="6"/>
        <v>2029</v>
      </c>
      <c r="U78" s="64">
        <f t="shared" si="6"/>
        <v>2030</v>
      </c>
    </row>
    <row r="79" spans="1:23" ht="30" customHeight="1" x14ac:dyDescent="0.2">
      <c r="D79" s="839" t="s">
        <v>118</v>
      </c>
      <c r="E79" s="252" t="s">
        <v>120</v>
      </c>
      <c r="F79" s="254">
        <f>9.2*0.95</f>
        <v>8.7399999999999984</v>
      </c>
      <c r="G79" s="253">
        <f>F79-($F$79-$K$79)/5</f>
        <v>8.6409999999999982</v>
      </c>
      <c r="H79" s="261">
        <f>G79-($F$79-$K$79)/5</f>
        <v>8.541999999999998</v>
      </c>
      <c r="I79" s="261">
        <f>H79-($F$79-$K$79)/5</f>
        <v>8.4429999999999978</v>
      </c>
      <c r="J79" s="261">
        <f>I79-($F$79-$K$79)/5</f>
        <v>8.3439999999999976</v>
      </c>
      <c r="K79" s="254">
        <f>8.5*0.97</f>
        <v>8.2449999999999992</v>
      </c>
      <c r="L79" s="253">
        <f>K79-($K$79-$P$79)/5</f>
        <v>8.1479999999999997</v>
      </c>
      <c r="M79" s="261">
        <f>L79-($K$79-$P$79)/5</f>
        <v>8.0510000000000002</v>
      </c>
      <c r="N79" s="261">
        <f t="shared" ref="N79:O79" si="7">M79-($K$79-$P$79)/5</f>
        <v>7.9540000000000006</v>
      </c>
      <c r="O79" s="261">
        <f t="shared" si="7"/>
        <v>7.8570000000000011</v>
      </c>
      <c r="P79" s="254">
        <f>8*0.97</f>
        <v>7.76</v>
      </c>
      <c r="Q79" s="253">
        <f>P79-($P$79-$U$79)/5</f>
        <v>7.7055999999999996</v>
      </c>
      <c r="R79" s="261">
        <f>Q79-($P$79-$U$79)/5</f>
        <v>7.6511999999999993</v>
      </c>
      <c r="S79" s="261">
        <f t="shared" ref="S79" si="8">R79-($P$79-$U$79)/5</f>
        <v>7.5967999999999991</v>
      </c>
      <c r="T79" s="261">
        <f>S79-($P$79-$U$79)/5</f>
        <v>7.5423999999999989</v>
      </c>
      <c r="U79" s="255">
        <f>7.8*0.96</f>
        <v>7.4879999999999995</v>
      </c>
    </row>
    <row r="80" spans="1:23" ht="30" customHeight="1" x14ac:dyDescent="0.2">
      <c r="D80" s="839"/>
      <c r="E80" s="623" t="s">
        <v>116</v>
      </c>
      <c r="F80" s="624">
        <f>9*0.95</f>
        <v>8.5499999999999989</v>
      </c>
      <c r="G80" s="625">
        <f>F80-($F$80-$K$80)/5</f>
        <v>8.4501999999999988</v>
      </c>
      <c r="H80" s="626">
        <f>G80-($F$80-$K$80)/5</f>
        <v>8.3503999999999987</v>
      </c>
      <c r="I80" s="626">
        <f>H80-($F$80-$K$80)/5</f>
        <v>8.2505999999999986</v>
      </c>
      <c r="J80" s="626">
        <f>I80-($F$80-$K$80)/5</f>
        <v>8.1507999999999985</v>
      </c>
      <c r="K80" s="624">
        <f>8.3*0.97</f>
        <v>8.0510000000000002</v>
      </c>
      <c r="L80" s="625">
        <f>K80-($K$80-$P$80)/5</f>
        <v>7.9539999999999997</v>
      </c>
      <c r="M80" s="626">
        <f t="shared" ref="M80" si="9">L80-($K$80-$P$80)/5</f>
        <v>7.8569999999999993</v>
      </c>
      <c r="N80" s="626">
        <f>M80-($K$80-$P$80)/5</f>
        <v>7.7599999999999989</v>
      </c>
      <c r="O80" s="626">
        <f>N80-($K$80-$P$80)/5</f>
        <v>7.6629999999999985</v>
      </c>
      <c r="P80" s="624">
        <f>7.8*0.97</f>
        <v>7.5659999999999998</v>
      </c>
      <c r="Q80" s="625">
        <f>P80-($P$80-$U$80)/5</f>
        <v>7.4927999999999999</v>
      </c>
      <c r="R80" s="626">
        <f>Q80-($P$80-$U$80)/5</f>
        <v>7.4196</v>
      </c>
      <c r="S80" s="626">
        <f t="shared" ref="S80" si="10">R80-($P$80-$U$80)/5</f>
        <v>7.3464</v>
      </c>
      <c r="T80" s="626">
        <f>S80-($P$80-$U$80)/5</f>
        <v>7.2732000000000001</v>
      </c>
      <c r="U80" s="627">
        <f>7.5*0.96</f>
        <v>7.1999999999999993</v>
      </c>
    </row>
    <row r="81" spans="1:21" ht="30" customHeight="1" x14ac:dyDescent="0.2">
      <c r="D81" s="839"/>
      <c r="E81" s="628" t="s">
        <v>387</v>
      </c>
      <c r="F81" s="634">
        <f t="shared" ref="F81:U81" si="11">$E$27*F79+$E$29*F80</f>
        <v>8.6449999999999996</v>
      </c>
      <c r="G81" s="635">
        <f t="shared" si="11"/>
        <v>8.5455999999999985</v>
      </c>
      <c r="H81" s="634">
        <f t="shared" si="11"/>
        <v>8.4461999999999975</v>
      </c>
      <c r="I81" s="634">
        <f t="shared" si="11"/>
        <v>8.3467999999999982</v>
      </c>
      <c r="J81" s="634">
        <f t="shared" si="11"/>
        <v>8.247399999999999</v>
      </c>
      <c r="K81" s="636">
        <f t="shared" si="11"/>
        <v>8.1479999999999997</v>
      </c>
      <c r="L81" s="634">
        <f t="shared" si="11"/>
        <v>8.0510000000000002</v>
      </c>
      <c r="M81" s="634">
        <f t="shared" si="11"/>
        <v>7.9539999999999997</v>
      </c>
      <c r="N81" s="634">
        <f t="shared" si="11"/>
        <v>7.8569999999999993</v>
      </c>
      <c r="O81" s="634">
        <f t="shared" si="11"/>
        <v>7.76</v>
      </c>
      <c r="P81" s="634">
        <f t="shared" si="11"/>
        <v>7.6630000000000003</v>
      </c>
      <c r="Q81" s="635">
        <f t="shared" si="11"/>
        <v>7.5991999999999997</v>
      </c>
      <c r="R81" s="634">
        <f t="shared" si="11"/>
        <v>7.5353999999999992</v>
      </c>
      <c r="S81" s="634">
        <f t="shared" si="11"/>
        <v>7.4715999999999996</v>
      </c>
      <c r="T81" s="634">
        <f t="shared" si="11"/>
        <v>7.4077999999999999</v>
      </c>
      <c r="U81" s="637">
        <f t="shared" si="11"/>
        <v>7.3439999999999994</v>
      </c>
    </row>
    <row r="82" spans="1:21" ht="30" customHeight="1" thickBot="1" x14ac:dyDescent="0.25">
      <c r="D82" s="840"/>
      <c r="E82" s="629" t="s">
        <v>388</v>
      </c>
      <c r="F82" s="630">
        <f>IF(Input!$E$53&gt;0,Input!$E$53,'Environmental analysis'!F81)</f>
        <v>8.6449999999999996</v>
      </c>
      <c r="G82" s="631">
        <f>IF(Input!$E$53&gt;0,Input!$E$53*G81/$F$81,'Environmental analysis'!G81)</f>
        <v>8.5455999999999985</v>
      </c>
      <c r="H82" s="630">
        <f>IF(Input!$E$53&gt;0,Input!$E$53*H81/$F$81,'Environmental analysis'!H81)</f>
        <v>8.4461999999999975</v>
      </c>
      <c r="I82" s="630">
        <f>IF(Input!$E$53&gt;0,Input!$E$53*I81/$F$81,'Environmental analysis'!I81)</f>
        <v>8.3467999999999982</v>
      </c>
      <c r="J82" s="630">
        <f>IF(Input!$E$53&gt;0,Input!$E$53*J81/$F$81,'Environmental analysis'!J81)</f>
        <v>8.247399999999999</v>
      </c>
      <c r="K82" s="630">
        <f>IF(Input!$E$53&gt;0,Input!$E$53*K81/$F$81,'Environmental analysis'!K81)</f>
        <v>8.1479999999999997</v>
      </c>
      <c r="L82" s="631">
        <f>IF(Input!$E$53&gt;0,Input!$E$53*L81/$F$81,'Environmental analysis'!L81)</f>
        <v>8.0510000000000002</v>
      </c>
      <c r="M82" s="630">
        <f>IF(Input!$E$53&gt;0,Input!$E$53*M81/$F$81,'Environmental analysis'!M81)</f>
        <v>7.9539999999999997</v>
      </c>
      <c r="N82" s="630">
        <f>IF(Input!$E$53&gt;0,Input!$E$53*N81/$F$81,'Environmental analysis'!N81)</f>
        <v>7.8569999999999993</v>
      </c>
      <c r="O82" s="630">
        <f>IF(Input!$E$53&gt;0,Input!$E$53*O81/$F$81,'Environmental analysis'!O81)</f>
        <v>7.7600000000000007</v>
      </c>
      <c r="P82" s="632">
        <f>IF(Input!$E$53&gt;0,Input!$E$53*P81/$F$81,'Environmental analysis'!P81)</f>
        <v>7.6630000000000003</v>
      </c>
      <c r="Q82" s="631">
        <f>IF(Input!$E$53&gt;0,Input!$E$53*Q81/$F$81,'Environmental analysis'!Q81)</f>
        <v>7.5991999999999997</v>
      </c>
      <c r="R82" s="630">
        <f>IF(Input!$E$53&gt;0,Input!$E$53*R81/$F$81,'Environmental analysis'!R81)</f>
        <v>7.5353999999999992</v>
      </c>
      <c r="S82" s="630">
        <f>IF(Input!$E$53&gt;0,Input!$E$53*S81/$F$81,'Environmental analysis'!S81)</f>
        <v>7.4715999999999987</v>
      </c>
      <c r="T82" s="630">
        <f>IF(Input!$E$53&gt;0,Input!$E$53*T81/$F$81,'Environmental analysis'!T81)</f>
        <v>7.4077999999999999</v>
      </c>
      <c r="U82" s="633">
        <f>IF(Input!$E$53&gt;0,Input!$E$53*U81/$F$81,'Environmental analysis'!U81)</f>
        <v>7.3439999999999994</v>
      </c>
    </row>
    <row r="83" spans="1:21" ht="30" customHeight="1" x14ac:dyDescent="0.2">
      <c r="D83" s="841" t="s">
        <v>121</v>
      </c>
      <c r="E83" s="291" t="s">
        <v>120</v>
      </c>
      <c r="F83" s="256">
        <f>13.5*0.98</f>
        <v>13.23</v>
      </c>
      <c r="G83" s="257">
        <f>F83-($F$83-$K$83)/5</f>
        <v>13.106</v>
      </c>
      <c r="H83" s="260">
        <f>G83-($F$83-$K$83)/5</f>
        <v>12.981999999999999</v>
      </c>
      <c r="I83" s="260">
        <f>H83-($F$83-$K$83)/5</f>
        <v>12.857999999999999</v>
      </c>
      <c r="J83" s="260">
        <f>I83-($F$83-$K$83)/5</f>
        <v>12.733999999999998</v>
      </c>
      <c r="K83" s="258">
        <f>13*0.97</f>
        <v>12.61</v>
      </c>
      <c r="L83" s="257">
        <f>K83-($K$83-$P$83)/5</f>
        <v>12.5518</v>
      </c>
      <c r="M83" s="260">
        <f t="shared" ref="M83" si="12">L83-($K$83-$P$83)/5</f>
        <v>12.493600000000001</v>
      </c>
      <c r="N83" s="260">
        <f>M83-($K$83-$P$83)/5</f>
        <v>12.435400000000001</v>
      </c>
      <c r="O83" s="260">
        <f>N83-($K$83-$P$83)/5</f>
        <v>12.377200000000002</v>
      </c>
      <c r="P83" s="258">
        <f>12.7*0.97</f>
        <v>12.318999999999999</v>
      </c>
      <c r="Q83" s="257">
        <f>P83-($P$83-$U$83)/5</f>
        <v>12.241399999999999</v>
      </c>
      <c r="R83" s="260">
        <f>Q83-($P$83-$U$83)/5</f>
        <v>12.163799999999998</v>
      </c>
      <c r="S83" s="260">
        <f t="shared" ref="S83" si="13">R83-($P$83-$U$83)/5</f>
        <v>12.086199999999998</v>
      </c>
      <c r="T83" s="260">
        <f>S83-($P$83-$U$83)/5</f>
        <v>12.008599999999998</v>
      </c>
      <c r="U83" s="259">
        <f>12.3*0.97</f>
        <v>11.931000000000001</v>
      </c>
    </row>
    <row r="84" spans="1:21" ht="30" customHeight="1" x14ac:dyDescent="0.2">
      <c r="D84" s="839"/>
      <c r="E84" s="623" t="s">
        <v>116</v>
      </c>
      <c r="F84" s="644">
        <f>13.1*0.98</f>
        <v>12.837999999999999</v>
      </c>
      <c r="G84" s="625">
        <f>F84-($F$84-$K$84)/5</f>
        <v>12.728</v>
      </c>
      <c r="H84" s="626">
        <f>G84-($F$84-$K$84)/5</f>
        <v>12.618</v>
      </c>
      <c r="I84" s="626">
        <f>H84-($F$84-$K$84)/5</f>
        <v>12.508000000000001</v>
      </c>
      <c r="J84" s="626">
        <f>I84-($F$84-$K$84)/5</f>
        <v>12.398000000000001</v>
      </c>
      <c r="K84" s="624">
        <f>12.8*0.96</f>
        <v>12.288</v>
      </c>
      <c r="L84" s="625">
        <f>K84-($K$84-$P$84)/5</f>
        <v>12.230399999999999</v>
      </c>
      <c r="M84" s="626">
        <f t="shared" ref="M84" si="14">L84-($K$84-$P$84)/5</f>
        <v>12.172799999999999</v>
      </c>
      <c r="N84" s="626">
        <f>M84-($K$84-$P$84)/5</f>
        <v>12.115199999999998</v>
      </c>
      <c r="O84" s="626">
        <f>N84-($K$84-$P$84)/5</f>
        <v>12.057599999999997</v>
      </c>
      <c r="P84" s="624">
        <f>12.5*0.96</f>
        <v>12</v>
      </c>
      <c r="Q84" s="625">
        <f>P84-($P$84-$U$84)/5</f>
        <v>11.928000000000001</v>
      </c>
      <c r="R84" s="626">
        <f>Q84-($P$84-$U$84)/5</f>
        <v>11.856000000000002</v>
      </c>
      <c r="S84" s="626">
        <f t="shared" ref="S84" si="15">R84-($P$84-$U$84)/5</f>
        <v>11.784000000000002</v>
      </c>
      <c r="T84" s="626">
        <f>S84-($P$84-$U$84)/5</f>
        <v>11.712000000000003</v>
      </c>
      <c r="U84" s="627">
        <f>12*0.97</f>
        <v>11.64</v>
      </c>
    </row>
    <row r="85" spans="1:21" ht="30" customHeight="1" x14ac:dyDescent="0.2">
      <c r="D85" s="839"/>
      <c r="E85" s="645" t="s">
        <v>387</v>
      </c>
      <c r="F85" s="646">
        <f t="shared" ref="F85:U85" si="16">$E$27*F83+$E$29*F84</f>
        <v>13.033999999999999</v>
      </c>
      <c r="G85" s="647">
        <f t="shared" si="16"/>
        <v>12.917</v>
      </c>
      <c r="H85" s="646">
        <f t="shared" si="16"/>
        <v>12.8</v>
      </c>
      <c r="I85" s="646">
        <f t="shared" si="16"/>
        <v>12.683</v>
      </c>
      <c r="J85" s="646">
        <f t="shared" si="16"/>
        <v>12.565999999999999</v>
      </c>
      <c r="K85" s="648">
        <f t="shared" si="16"/>
        <v>12.449</v>
      </c>
      <c r="L85" s="646">
        <f t="shared" si="16"/>
        <v>12.3911</v>
      </c>
      <c r="M85" s="646">
        <f t="shared" si="16"/>
        <v>12.3332</v>
      </c>
      <c r="N85" s="646">
        <f t="shared" si="16"/>
        <v>12.2753</v>
      </c>
      <c r="O85" s="646">
        <f t="shared" si="16"/>
        <v>12.2174</v>
      </c>
      <c r="P85" s="646">
        <f t="shared" si="16"/>
        <v>12.1595</v>
      </c>
      <c r="Q85" s="647">
        <f t="shared" si="16"/>
        <v>12.0847</v>
      </c>
      <c r="R85" s="646">
        <f t="shared" si="16"/>
        <v>12.0099</v>
      </c>
      <c r="S85" s="646">
        <f t="shared" si="16"/>
        <v>11.9351</v>
      </c>
      <c r="T85" s="646">
        <f t="shared" si="16"/>
        <v>11.860300000000001</v>
      </c>
      <c r="U85" s="649">
        <f t="shared" si="16"/>
        <v>11.785500000000001</v>
      </c>
    </row>
    <row r="86" spans="1:21" ht="30" customHeight="1" thickBot="1" x14ac:dyDescent="0.25">
      <c r="D86" s="842"/>
      <c r="E86" s="639" t="s">
        <v>388</v>
      </c>
      <c r="F86" s="640">
        <f>IF(Input!$E$54&gt;0,Input!$E$54,'Environmental analysis'!F85)</f>
        <v>13.033999999999999</v>
      </c>
      <c r="G86" s="641">
        <f>IF(Input!$E$54&gt;0,Input!$E$54*G85/$F$85,'Environmental analysis'!G85)</f>
        <v>12.917</v>
      </c>
      <c r="H86" s="640">
        <f>IF(Input!$E$54&gt;0,Input!$E$54*H85/$F$85,'Environmental analysis'!H85)</f>
        <v>12.8</v>
      </c>
      <c r="I86" s="640">
        <f>IF(Input!$E$54&gt;0,Input!$E$54*I85/$F$85,'Environmental analysis'!I85)</f>
        <v>12.683</v>
      </c>
      <c r="J86" s="640">
        <f>IF(Input!$E$54&gt;0,Input!$E$54*J85/$F$85,'Environmental analysis'!J85)</f>
        <v>12.565999999999999</v>
      </c>
      <c r="K86" s="640">
        <f>IF(Input!$E$54&gt;0,Input!$E$54*K85/$F$85,'Environmental analysis'!K85)</f>
        <v>12.449</v>
      </c>
      <c r="L86" s="641">
        <f>IF(Input!$E$54&gt;0,Input!$E$54*L85/$F$85,'Environmental analysis'!L85)</f>
        <v>12.391099999999998</v>
      </c>
      <c r="M86" s="640">
        <f>IF(Input!$E$54&gt;0,Input!$E$54*M85/$F$85,'Environmental analysis'!M85)</f>
        <v>12.333200000000001</v>
      </c>
      <c r="N86" s="640">
        <f>IF(Input!$E$54&gt;0,Input!$E$54*N85/$F$85,'Environmental analysis'!N85)</f>
        <v>12.275300000000001</v>
      </c>
      <c r="O86" s="640">
        <f>IF(Input!$E$54&gt;0,Input!$E$54*O85/$F$85,'Environmental analysis'!O85)</f>
        <v>12.2174</v>
      </c>
      <c r="P86" s="642">
        <f>IF(Input!$E$54&gt;0,Input!$E$54*P85/$F$85,'Environmental analysis'!P85)</f>
        <v>12.1595</v>
      </c>
      <c r="Q86" s="641">
        <f>IF(Input!$E$54&gt;0,Input!$E$54*Q85/$F$85,'Environmental analysis'!Q85)</f>
        <v>12.0847</v>
      </c>
      <c r="R86" s="640">
        <f>IF(Input!$E$54&gt;0,Input!$E$54*R85/$F$85,'Environmental analysis'!R85)</f>
        <v>12.0099</v>
      </c>
      <c r="S86" s="640">
        <f>IF(Input!$E$54&gt;0,Input!$E$54*S85/$F$85,'Environmental analysis'!S85)</f>
        <v>11.9351</v>
      </c>
      <c r="T86" s="640">
        <f>IF(Input!$E$54&gt;0,Input!$E$54*T85/$F$85,'Environmental analysis'!T85)</f>
        <v>11.860300000000001</v>
      </c>
      <c r="U86" s="643">
        <f>IF(Input!$E$54&gt;0,Input!$E$54*U85/$F$85,'Environmental analysis'!U85)</f>
        <v>11.785499999999999</v>
      </c>
    </row>
    <row r="87" spans="1:21" ht="40.15" customHeight="1" thickTop="1" thickBot="1" x14ac:dyDescent="0.25"/>
    <row r="88" spans="1:21" ht="30" customHeight="1" thickTop="1" thickBot="1" x14ac:dyDescent="0.25">
      <c r="D88" s="74" t="s">
        <v>299</v>
      </c>
      <c r="E88" s="375" t="s">
        <v>206</v>
      </c>
      <c r="F88" s="300">
        <v>2015</v>
      </c>
      <c r="G88" s="300">
        <f>F88+1</f>
        <v>2016</v>
      </c>
      <c r="H88" s="300">
        <f>G88+1</f>
        <v>2017</v>
      </c>
      <c r="I88" s="300">
        <f>H88+1</f>
        <v>2018</v>
      </c>
      <c r="J88" s="300">
        <f>I88+1</f>
        <v>2019</v>
      </c>
      <c r="K88" s="300">
        <f t="shared" ref="K88" si="17">J88+1</f>
        <v>2020</v>
      </c>
      <c r="L88" s="300">
        <f t="shared" ref="L88" si="18">K88+1</f>
        <v>2021</v>
      </c>
      <c r="M88" s="300">
        <f t="shared" ref="M88" si="19">L88+1</f>
        <v>2022</v>
      </c>
      <c r="N88" s="300">
        <f t="shared" ref="N88" si="20">M88+1</f>
        <v>2023</v>
      </c>
      <c r="O88" s="300">
        <f t="shared" ref="O88" si="21">N88+1</f>
        <v>2024</v>
      </c>
      <c r="P88" s="300">
        <f t="shared" ref="P88" si="22">O88+1</f>
        <v>2025</v>
      </c>
      <c r="Q88" s="300">
        <f t="shared" ref="Q88" si="23">P88+1</f>
        <v>2026</v>
      </c>
      <c r="R88" s="300">
        <f t="shared" ref="R88" si="24">Q88+1</f>
        <v>2027</v>
      </c>
      <c r="S88" s="300">
        <f t="shared" ref="S88" si="25">R88+1</f>
        <v>2028</v>
      </c>
      <c r="T88" s="300">
        <f t="shared" ref="T88" si="26">S88+1</f>
        <v>2029</v>
      </c>
      <c r="U88" s="301">
        <f>T88+1</f>
        <v>2030</v>
      </c>
    </row>
    <row r="89" spans="1:21" s="29" customFormat="1" ht="25.15" customHeight="1" thickTop="1" x14ac:dyDescent="0.2">
      <c r="A89" s="61"/>
      <c r="B89" s="62"/>
      <c r="D89" s="391" t="s">
        <v>234</v>
      </c>
      <c r="E89" s="380" t="s">
        <v>205</v>
      </c>
      <c r="F89" s="382">
        <f t="shared" ref="F89:U89" si="27">$E$35*(1-$E$37)^(F88-$F$88)</f>
        <v>500</v>
      </c>
      <c r="G89" s="382">
        <f t="shared" si="27"/>
        <v>485</v>
      </c>
      <c r="H89" s="382">
        <f t="shared" si="27"/>
        <v>470.45</v>
      </c>
      <c r="I89" s="382">
        <f t="shared" si="27"/>
        <v>456.3365</v>
      </c>
      <c r="J89" s="382">
        <f t="shared" si="27"/>
        <v>442.64640499999996</v>
      </c>
      <c r="K89" s="382">
        <f t="shared" si="27"/>
        <v>429.36701284999992</v>
      </c>
      <c r="L89" s="382">
        <f t="shared" si="27"/>
        <v>416.48600246449996</v>
      </c>
      <c r="M89" s="382">
        <f t="shared" si="27"/>
        <v>403.99142239056494</v>
      </c>
      <c r="N89" s="382">
        <f t="shared" si="27"/>
        <v>391.87167971884799</v>
      </c>
      <c r="O89" s="382">
        <f t="shared" si="27"/>
        <v>380.11552932728256</v>
      </c>
      <c r="P89" s="382">
        <f t="shared" si="27"/>
        <v>368.71206344746412</v>
      </c>
      <c r="Q89" s="382">
        <f t="shared" si="27"/>
        <v>357.65070154404015</v>
      </c>
      <c r="R89" s="382">
        <f t="shared" si="27"/>
        <v>346.92118049771892</v>
      </c>
      <c r="S89" s="382">
        <f t="shared" si="27"/>
        <v>336.51354508278735</v>
      </c>
      <c r="T89" s="382">
        <f t="shared" si="27"/>
        <v>326.41813873030372</v>
      </c>
      <c r="U89" s="402">
        <f t="shared" si="27"/>
        <v>316.6255945683946</v>
      </c>
    </row>
    <row r="90" spans="1:21" s="29" customFormat="1" ht="25.15" customHeight="1" thickBot="1" x14ac:dyDescent="0.25">
      <c r="A90" s="61"/>
      <c r="B90" s="62"/>
      <c r="D90" s="392" t="s">
        <v>209</v>
      </c>
      <c r="E90" s="385" t="s">
        <v>210</v>
      </c>
      <c r="F90" s="507">
        <v>52</v>
      </c>
      <c r="G90" s="280">
        <f>F$90-(F$90-K$90)/5</f>
        <v>51.8</v>
      </c>
      <c r="H90" s="280">
        <f>G$90-(F$90-K$90)/5</f>
        <v>51.599999999999994</v>
      </c>
      <c r="I90" s="280">
        <f>H$90-(F$90-K$90)/5</f>
        <v>51.399999999999991</v>
      </c>
      <c r="J90" s="280">
        <f>I$90-(F$90-K$90)/5</f>
        <v>51.199999999999989</v>
      </c>
      <c r="K90" s="507">
        <v>51</v>
      </c>
      <c r="L90" s="280">
        <f>K$90-(K$90-P$90)/5</f>
        <v>50.9</v>
      </c>
      <c r="M90" s="280">
        <f>L$90-(K$90-P$90)/5</f>
        <v>50.8</v>
      </c>
      <c r="N90" s="280">
        <f>M$90-(K$90-P$90)/5</f>
        <v>50.699999999999996</v>
      </c>
      <c r="O90" s="280">
        <f>N$90-(K$90-P$90)/5</f>
        <v>50.599999999999994</v>
      </c>
      <c r="P90" s="507">
        <v>50.5</v>
      </c>
      <c r="Q90" s="280">
        <f>P$90-(P$90-U$90)/5</f>
        <v>50.4</v>
      </c>
      <c r="R90" s="280">
        <f>Q$90-(P$90-U$90)/5</f>
        <v>50.3</v>
      </c>
      <c r="S90" s="280">
        <f>R$90-(P$90-U$90)/5</f>
        <v>50.199999999999996</v>
      </c>
      <c r="T90" s="280">
        <f>S$90-(P$90-U$90)/5</f>
        <v>50.099999999999994</v>
      </c>
      <c r="U90" s="508">
        <v>50</v>
      </c>
    </row>
    <row r="91" spans="1:21" s="29" customFormat="1" ht="25.15" customHeight="1" x14ac:dyDescent="0.2">
      <c r="A91" s="61"/>
      <c r="B91" s="62"/>
      <c r="D91" s="393" t="s">
        <v>212</v>
      </c>
      <c r="E91" s="386" t="s">
        <v>211</v>
      </c>
      <c r="F91" s="387">
        <f t="shared" ref="F91:U91" si="28">F90*F89/1000</f>
        <v>26</v>
      </c>
      <c r="G91" s="388">
        <f t="shared" si="28"/>
        <v>25.123000000000001</v>
      </c>
      <c r="H91" s="388">
        <f t="shared" si="28"/>
        <v>24.275219999999997</v>
      </c>
      <c r="I91" s="388">
        <f t="shared" si="28"/>
        <v>23.455696099999997</v>
      </c>
      <c r="J91" s="388">
        <f t="shared" si="28"/>
        <v>22.663495935999993</v>
      </c>
      <c r="K91" s="388">
        <f t="shared" si="28"/>
        <v>21.897717655349997</v>
      </c>
      <c r="L91" s="388">
        <f t="shared" si="28"/>
        <v>21.199137525443046</v>
      </c>
      <c r="M91" s="388">
        <f t="shared" si="28"/>
        <v>20.522764257440695</v>
      </c>
      <c r="N91" s="388">
        <f t="shared" si="28"/>
        <v>19.867894161745593</v>
      </c>
      <c r="O91" s="388">
        <f t="shared" si="28"/>
        <v>19.233845783960497</v>
      </c>
      <c r="P91" s="388">
        <f t="shared" si="28"/>
        <v>18.619959204096936</v>
      </c>
      <c r="Q91" s="388">
        <f t="shared" si="28"/>
        <v>18.025595357819626</v>
      </c>
      <c r="R91" s="388">
        <f t="shared" si="28"/>
        <v>17.450135379035263</v>
      </c>
      <c r="S91" s="388">
        <f t="shared" si="28"/>
        <v>16.892979963155923</v>
      </c>
      <c r="T91" s="388">
        <f t="shared" si="28"/>
        <v>16.353548750388214</v>
      </c>
      <c r="U91" s="394">
        <f t="shared" si="28"/>
        <v>15.83127972841973</v>
      </c>
    </row>
    <row r="92" spans="1:21" s="29" customFormat="1" ht="25.15" customHeight="1" thickBot="1" x14ac:dyDescent="0.25">
      <c r="A92" s="61"/>
      <c r="B92" s="62"/>
      <c r="D92" s="395" t="s">
        <v>215</v>
      </c>
      <c r="E92" s="381" t="s">
        <v>213</v>
      </c>
      <c r="F92" s="383">
        <f t="shared" ref="F92:U92" si="29">F91*F61</f>
        <v>224.76999999999998</v>
      </c>
      <c r="G92" s="384">
        <f t="shared" si="29"/>
        <v>214.69110879999997</v>
      </c>
      <c r="H92" s="384">
        <f t="shared" si="29"/>
        <v>205.03336316399992</v>
      </c>
      <c r="I92" s="384">
        <f t="shared" si="29"/>
        <v>195.78000420747995</v>
      </c>
      <c r="J92" s="384">
        <f t="shared" si="29"/>
        <v>186.91491638256633</v>
      </c>
      <c r="K92" s="383">
        <f t="shared" si="29"/>
        <v>178.42260345579177</v>
      </c>
      <c r="L92" s="384">
        <f t="shared" si="29"/>
        <v>170.67425621734196</v>
      </c>
      <c r="M92" s="384">
        <f t="shared" si="29"/>
        <v>163.23806690368329</v>
      </c>
      <c r="N92" s="384">
        <f t="shared" si="29"/>
        <v>156.10204442883511</v>
      </c>
      <c r="O92" s="384">
        <f t="shared" si="29"/>
        <v>149.25464328353348</v>
      </c>
      <c r="P92" s="383">
        <f t="shared" si="29"/>
        <v>142.68474738099482</v>
      </c>
      <c r="Q92" s="384">
        <f t="shared" si="29"/>
        <v>136.9801042431429</v>
      </c>
      <c r="R92" s="384">
        <f t="shared" si="29"/>
        <v>131.4937501351823</v>
      </c>
      <c r="S92" s="384">
        <f t="shared" si="29"/>
        <v>126.21758909271577</v>
      </c>
      <c r="T92" s="384">
        <f t="shared" si="29"/>
        <v>121.14381843312582</v>
      </c>
      <c r="U92" s="396">
        <f t="shared" si="29"/>
        <v>116.26491832551449</v>
      </c>
    </row>
    <row r="93" spans="1:21" s="29" customFormat="1" ht="25.15" customHeight="1" x14ac:dyDescent="0.2">
      <c r="A93" s="61"/>
      <c r="B93" s="62"/>
      <c r="D93" s="393" t="s">
        <v>214</v>
      </c>
      <c r="E93" s="386" t="s">
        <v>211</v>
      </c>
      <c r="F93" s="387">
        <f t="shared" ref="F93:U93" si="30">F90*F89/1000*(1-$E$53)</f>
        <v>18.2</v>
      </c>
      <c r="G93" s="388">
        <f t="shared" si="30"/>
        <v>17.586099999999998</v>
      </c>
      <c r="H93" s="388">
        <f t="shared" si="30"/>
        <v>16.992653999999998</v>
      </c>
      <c r="I93" s="388">
        <f t="shared" si="30"/>
        <v>16.418987269999999</v>
      </c>
      <c r="J93" s="388">
        <f t="shared" si="30"/>
        <v>15.864447155199993</v>
      </c>
      <c r="K93" s="388">
        <f t="shared" si="30"/>
        <v>15.328402358744997</v>
      </c>
      <c r="L93" s="388">
        <f t="shared" si="30"/>
        <v>14.83939626781013</v>
      </c>
      <c r="M93" s="388">
        <f t="shared" si="30"/>
        <v>14.365934980208486</v>
      </c>
      <c r="N93" s="388">
        <f t="shared" si="30"/>
        <v>13.907525913221914</v>
      </c>
      <c r="O93" s="388">
        <f t="shared" si="30"/>
        <v>13.463692048772348</v>
      </c>
      <c r="P93" s="388">
        <f t="shared" si="30"/>
        <v>13.033971442867855</v>
      </c>
      <c r="Q93" s="388">
        <f t="shared" si="30"/>
        <v>12.617916750473738</v>
      </c>
      <c r="R93" s="388">
        <f t="shared" si="30"/>
        <v>12.215094765324684</v>
      </c>
      <c r="S93" s="388">
        <f t="shared" si="30"/>
        <v>11.825085974209145</v>
      </c>
      <c r="T93" s="388">
        <f t="shared" si="30"/>
        <v>11.44748412527175</v>
      </c>
      <c r="U93" s="394">
        <f t="shared" si="30"/>
        <v>11.08189580989381</v>
      </c>
    </row>
    <row r="94" spans="1:21" s="29" customFormat="1" ht="25.15" customHeight="1" thickBot="1" x14ac:dyDescent="0.25">
      <c r="A94" s="61"/>
      <c r="B94" s="62"/>
      <c r="D94" s="395" t="s">
        <v>216</v>
      </c>
      <c r="E94" s="381" t="s">
        <v>213</v>
      </c>
      <c r="F94" s="383">
        <f t="shared" ref="F94:U94" si="31">F93*F61</f>
        <v>157.339</v>
      </c>
      <c r="G94" s="384">
        <f t="shared" si="31"/>
        <v>150.28377615999995</v>
      </c>
      <c r="H94" s="384">
        <f t="shared" si="31"/>
        <v>143.52335421479995</v>
      </c>
      <c r="I94" s="384">
        <f t="shared" si="31"/>
        <v>137.04600294523595</v>
      </c>
      <c r="J94" s="384">
        <f t="shared" si="31"/>
        <v>130.84044146779641</v>
      </c>
      <c r="K94" s="383">
        <f t="shared" si="31"/>
        <v>124.89582241905423</v>
      </c>
      <c r="L94" s="384">
        <f t="shared" si="31"/>
        <v>119.47197935213936</v>
      </c>
      <c r="M94" s="384">
        <f t="shared" si="31"/>
        <v>114.26664683257829</v>
      </c>
      <c r="N94" s="384">
        <f t="shared" si="31"/>
        <v>109.27143110018457</v>
      </c>
      <c r="O94" s="384">
        <f t="shared" si="31"/>
        <v>104.47825029847343</v>
      </c>
      <c r="P94" s="383">
        <f t="shared" si="31"/>
        <v>99.879323166696381</v>
      </c>
      <c r="Q94" s="384">
        <f t="shared" si="31"/>
        <v>95.886072970200019</v>
      </c>
      <c r="R94" s="384">
        <f t="shared" si="31"/>
        <v>92.04562509462761</v>
      </c>
      <c r="S94" s="384">
        <f t="shared" si="31"/>
        <v>88.352312364901039</v>
      </c>
      <c r="T94" s="384">
        <f t="shared" si="31"/>
        <v>84.800672903188072</v>
      </c>
      <c r="U94" s="396">
        <f t="shared" si="31"/>
        <v>81.385442827860132</v>
      </c>
    </row>
    <row r="95" spans="1:21" s="29" customFormat="1" ht="25.15" customHeight="1" x14ac:dyDescent="0.2">
      <c r="A95" s="61"/>
      <c r="B95" s="62"/>
      <c r="D95" s="393" t="s">
        <v>217</v>
      </c>
      <c r="E95" s="386" t="s">
        <v>211</v>
      </c>
      <c r="F95" s="387">
        <f t="shared" ref="F95:U95" si="32">F90*F89/1000*(1-$E$55)</f>
        <v>13</v>
      </c>
      <c r="G95" s="388">
        <f t="shared" si="32"/>
        <v>12.561500000000001</v>
      </c>
      <c r="H95" s="388">
        <f t="shared" si="32"/>
        <v>12.137609999999999</v>
      </c>
      <c r="I95" s="388">
        <f t="shared" si="32"/>
        <v>11.727848049999999</v>
      </c>
      <c r="J95" s="388">
        <f t="shared" si="32"/>
        <v>11.331747967999997</v>
      </c>
      <c r="K95" s="388">
        <f t="shared" si="32"/>
        <v>10.948858827674998</v>
      </c>
      <c r="L95" s="388">
        <f t="shared" si="32"/>
        <v>10.599568762721523</v>
      </c>
      <c r="M95" s="388">
        <f t="shared" si="32"/>
        <v>10.261382128720347</v>
      </c>
      <c r="N95" s="388">
        <f t="shared" si="32"/>
        <v>9.9339470808727963</v>
      </c>
      <c r="O95" s="388">
        <f t="shared" si="32"/>
        <v>9.6169228919802485</v>
      </c>
      <c r="P95" s="388">
        <f t="shared" si="32"/>
        <v>9.3099796020484682</v>
      </c>
      <c r="Q95" s="388">
        <f t="shared" si="32"/>
        <v>9.0127976789098128</v>
      </c>
      <c r="R95" s="388">
        <f t="shared" si="32"/>
        <v>8.7250676895176316</v>
      </c>
      <c r="S95" s="388">
        <f t="shared" si="32"/>
        <v>8.4464899815779617</v>
      </c>
      <c r="T95" s="388">
        <f t="shared" si="32"/>
        <v>8.1767743751941069</v>
      </c>
      <c r="U95" s="394">
        <f t="shared" si="32"/>
        <v>7.9156398642098651</v>
      </c>
    </row>
    <row r="96" spans="1:21" s="29" customFormat="1" ht="25.15" customHeight="1" thickBot="1" x14ac:dyDescent="0.25">
      <c r="A96" s="61"/>
      <c r="B96" s="62"/>
      <c r="D96" s="395" t="s">
        <v>218</v>
      </c>
      <c r="E96" s="381" t="s">
        <v>213</v>
      </c>
      <c r="F96" s="383">
        <f t="shared" ref="F96:U96" si="33">F95*F61</f>
        <v>112.38499999999999</v>
      </c>
      <c r="G96" s="384">
        <f t="shared" si="33"/>
        <v>107.34555439999998</v>
      </c>
      <c r="H96" s="384">
        <f t="shared" si="33"/>
        <v>102.51668158199996</v>
      </c>
      <c r="I96" s="384">
        <f t="shared" si="33"/>
        <v>97.890002103739974</v>
      </c>
      <c r="J96" s="384">
        <f t="shared" si="33"/>
        <v>93.457458191283166</v>
      </c>
      <c r="K96" s="383">
        <f t="shared" si="33"/>
        <v>89.211301727895886</v>
      </c>
      <c r="L96" s="384">
        <f t="shared" si="33"/>
        <v>85.337128108670981</v>
      </c>
      <c r="M96" s="384">
        <f t="shared" si="33"/>
        <v>81.619033451841645</v>
      </c>
      <c r="N96" s="384">
        <f t="shared" si="33"/>
        <v>78.051022214417557</v>
      </c>
      <c r="O96" s="384">
        <f t="shared" si="33"/>
        <v>74.627321641766741</v>
      </c>
      <c r="P96" s="383">
        <f t="shared" si="33"/>
        <v>71.342373690497411</v>
      </c>
      <c r="Q96" s="384">
        <f t="shared" si="33"/>
        <v>68.490052121571452</v>
      </c>
      <c r="R96" s="384">
        <f t="shared" si="33"/>
        <v>65.746875067591148</v>
      </c>
      <c r="S96" s="384">
        <f t="shared" si="33"/>
        <v>63.108794546357885</v>
      </c>
      <c r="T96" s="384">
        <f t="shared" si="33"/>
        <v>60.571909216562908</v>
      </c>
      <c r="U96" s="396">
        <f t="shared" si="33"/>
        <v>58.132459162757243</v>
      </c>
    </row>
    <row r="97" spans="1:21" s="29" customFormat="1" ht="25.15" customHeight="1" x14ac:dyDescent="0.2">
      <c r="A97" s="61"/>
      <c r="B97" s="62"/>
      <c r="D97" s="393" t="s">
        <v>219</v>
      </c>
      <c r="E97" s="386" t="s">
        <v>211</v>
      </c>
      <c r="F97" s="387">
        <f t="shared" ref="F97:U97" si="34">F90*F89/1000*(1-$E$57)</f>
        <v>7.8000000000000007</v>
      </c>
      <c r="G97" s="388">
        <f t="shared" si="34"/>
        <v>7.536900000000001</v>
      </c>
      <c r="H97" s="388">
        <f t="shared" si="34"/>
        <v>7.2825660000000001</v>
      </c>
      <c r="I97" s="388">
        <f t="shared" si="34"/>
        <v>7.0367088300000002</v>
      </c>
      <c r="J97" s="388">
        <f t="shared" si="34"/>
        <v>6.7990487807999989</v>
      </c>
      <c r="K97" s="388">
        <f t="shared" si="34"/>
        <v>6.5693152966049997</v>
      </c>
      <c r="L97" s="388">
        <f t="shared" si="34"/>
        <v>6.3597412576329146</v>
      </c>
      <c r="M97" s="388">
        <f t="shared" si="34"/>
        <v>6.1568292772322097</v>
      </c>
      <c r="N97" s="388">
        <f t="shared" si="34"/>
        <v>5.9603682485236789</v>
      </c>
      <c r="O97" s="388">
        <f t="shared" si="34"/>
        <v>5.77015373518815</v>
      </c>
      <c r="P97" s="388">
        <f t="shared" si="34"/>
        <v>5.5859877612290818</v>
      </c>
      <c r="Q97" s="388">
        <f t="shared" si="34"/>
        <v>5.4076786073458889</v>
      </c>
      <c r="R97" s="388">
        <f t="shared" si="34"/>
        <v>5.2350406137105798</v>
      </c>
      <c r="S97" s="388">
        <f t="shared" si="34"/>
        <v>5.0678939889467776</v>
      </c>
      <c r="T97" s="388">
        <f t="shared" si="34"/>
        <v>4.906064625116465</v>
      </c>
      <c r="U97" s="394">
        <f t="shared" si="34"/>
        <v>4.7493839185259201</v>
      </c>
    </row>
    <row r="98" spans="1:21" s="29" customFormat="1" ht="25.15" customHeight="1" thickBot="1" x14ac:dyDescent="0.25">
      <c r="A98" s="61"/>
      <c r="B98" s="62"/>
      <c r="D98" s="395" t="s">
        <v>220</v>
      </c>
      <c r="E98" s="381" t="s">
        <v>213</v>
      </c>
      <c r="F98" s="383">
        <f t="shared" ref="F98:U98" si="35">F97*F61</f>
        <v>67.430999999999997</v>
      </c>
      <c r="G98" s="384">
        <f t="shared" si="35"/>
        <v>64.407332639999993</v>
      </c>
      <c r="H98" s="384">
        <f t="shared" si="35"/>
        <v>61.510008949199985</v>
      </c>
      <c r="I98" s="384">
        <f t="shared" si="35"/>
        <v>58.734001262243993</v>
      </c>
      <c r="J98" s="384">
        <f t="shared" si="35"/>
        <v>56.074474914769901</v>
      </c>
      <c r="K98" s="383">
        <f t="shared" si="35"/>
        <v>53.526781036737532</v>
      </c>
      <c r="L98" s="384">
        <f t="shared" si="35"/>
        <v>51.202276865202599</v>
      </c>
      <c r="M98" s="384">
        <f t="shared" si="35"/>
        <v>48.971420071104994</v>
      </c>
      <c r="N98" s="384">
        <f t="shared" si="35"/>
        <v>46.830613328650543</v>
      </c>
      <c r="O98" s="384">
        <f t="shared" si="35"/>
        <v>44.776392985060049</v>
      </c>
      <c r="P98" s="383">
        <f t="shared" si="35"/>
        <v>42.805424214298455</v>
      </c>
      <c r="Q98" s="384">
        <f t="shared" si="35"/>
        <v>41.094031272942878</v>
      </c>
      <c r="R98" s="384">
        <f t="shared" si="35"/>
        <v>39.4481250405547</v>
      </c>
      <c r="S98" s="384">
        <f t="shared" si="35"/>
        <v>37.865276727814738</v>
      </c>
      <c r="T98" s="384">
        <f t="shared" si="35"/>
        <v>36.34314552993775</v>
      </c>
      <c r="U98" s="396">
        <f t="shared" si="35"/>
        <v>34.879475497654354</v>
      </c>
    </row>
    <row r="99" spans="1:21" s="29" customFormat="1" ht="25.15" customHeight="1" x14ac:dyDescent="0.2">
      <c r="A99" s="61"/>
      <c r="B99" s="62"/>
      <c r="D99" s="393" t="s">
        <v>222</v>
      </c>
      <c r="E99" s="386" t="s">
        <v>211</v>
      </c>
      <c r="F99" s="387">
        <v>12.5</v>
      </c>
      <c r="G99" s="388">
        <f t="shared" ref="G99:U99" si="36">F99</f>
        <v>12.5</v>
      </c>
      <c r="H99" s="388">
        <f t="shared" si="36"/>
        <v>12.5</v>
      </c>
      <c r="I99" s="388">
        <f t="shared" si="36"/>
        <v>12.5</v>
      </c>
      <c r="J99" s="388">
        <f t="shared" si="36"/>
        <v>12.5</v>
      </c>
      <c r="K99" s="388">
        <f t="shared" si="36"/>
        <v>12.5</v>
      </c>
      <c r="L99" s="388">
        <f t="shared" si="36"/>
        <v>12.5</v>
      </c>
      <c r="M99" s="388">
        <f t="shared" si="36"/>
        <v>12.5</v>
      </c>
      <c r="N99" s="388">
        <f t="shared" si="36"/>
        <v>12.5</v>
      </c>
      <c r="O99" s="388">
        <f t="shared" si="36"/>
        <v>12.5</v>
      </c>
      <c r="P99" s="388">
        <f t="shared" si="36"/>
        <v>12.5</v>
      </c>
      <c r="Q99" s="388">
        <f t="shared" si="36"/>
        <v>12.5</v>
      </c>
      <c r="R99" s="388">
        <f t="shared" si="36"/>
        <v>12.5</v>
      </c>
      <c r="S99" s="388">
        <f t="shared" si="36"/>
        <v>12.5</v>
      </c>
      <c r="T99" s="388">
        <f t="shared" si="36"/>
        <v>12.5</v>
      </c>
      <c r="U99" s="394">
        <f t="shared" si="36"/>
        <v>12.5</v>
      </c>
    </row>
    <row r="100" spans="1:21" s="29" customFormat="1" ht="25.15" customHeight="1" thickBot="1" x14ac:dyDescent="0.25">
      <c r="A100" s="61"/>
      <c r="B100" s="62"/>
      <c r="D100" s="395" t="s">
        <v>221</v>
      </c>
      <c r="E100" s="381" t="s">
        <v>213</v>
      </c>
      <c r="F100" s="383">
        <f t="shared" ref="F100:U100" si="37">F99*F61</f>
        <v>108.0625</v>
      </c>
      <c r="G100" s="384">
        <f t="shared" si="37"/>
        <v>106.81999999999998</v>
      </c>
      <c r="H100" s="384">
        <f t="shared" si="37"/>
        <v>105.57749999999997</v>
      </c>
      <c r="I100" s="384">
        <f t="shared" si="37"/>
        <v>104.33499999999998</v>
      </c>
      <c r="J100" s="384">
        <f t="shared" si="37"/>
        <v>103.09249999999999</v>
      </c>
      <c r="K100" s="383">
        <f t="shared" si="37"/>
        <v>101.85</v>
      </c>
      <c r="L100" s="384">
        <f t="shared" si="37"/>
        <v>100.6375</v>
      </c>
      <c r="M100" s="384">
        <f t="shared" si="37"/>
        <v>99.424999999999997</v>
      </c>
      <c r="N100" s="384">
        <f t="shared" si="37"/>
        <v>98.212499999999991</v>
      </c>
      <c r="O100" s="384">
        <f t="shared" si="37"/>
        <v>97.000000000000014</v>
      </c>
      <c r="P100" s="383">
        <f t="shared" si="37"/>
        <v>95.787500000000009</v>
      </c>
      <c r="Q100" s="384">
        <f t="shared" si="37"/>
        <v>94.99</v>
      </c>
      <c r="R100" s="384">
        <f t="shared" si="37"/>
        <v>94.192499999999995</v>
      </c>
      <c r="S100" s="384">
        <f t="shared" si="37"/>
        <v>93.394999999999982</v>
      </c>
      <c r="T100" s="384">
        <f t="shared" si="37"/>
        <v>92.597499999999997</v>
      </c>
      <c r="U100" s="396">
        <f t="shared" si="37"/>
        <v>91.8</v>
      </c>
    </row>
    <row r="101" spans="1:21" s="29" customFormat="1" ht="25.15" customHeight="1" x14ac:dyDescent="0.2">
      <c r="A101" s="61"/>
      <c r="B101" s="62"/>
      <c r="D101" s="393" t="s">
        <v>223</v>
      </c>
      <c r="E101" s="386" t="s">
        <v>211</v>
      </c>
      <c r="F101" s="387">
        <v>3.05</v>
      </c>
      <c r="G101" s="388">
        <f t="shared" ref="G101:U101" si="38">F101</f>
        <v>3.05</v>
      </c>
      <c r="H101" s="388">
        <f t="shared" si="38"/>
        <v>3.05</v>
      </c>
      <c r="I101" s="388">
        <f t="shared" si="38"/>
        <v>3.05</v>
      </c>
      <c r="J101" s="388">
        <f t="shared" si="38"/>
        <v>3.05</v>
      </c>
      <c r="K101" s="388">
        <f t="shared" si="38"/>
        <v>3.05</v>
      </c>
      <c r="L101" s="388">
        <f t="shared" si="38"/>
        <v>3.05</v>
      </c>
      <c r="M101" s="388">
        <f t="shared" si="38"/>
        <v>3.05</v>
      </c>
      <c r="N101" s="388">
        <f t="shared" si="38"/>
        <v>3.05</v>
      </c>
      <c r="O101" s="388">
        <f t="shared" si="38"/>
        <v>3.05</v>
      </c>
      <c r="P101" s="388">
        <f t="shared" si="38"/>
        <v>3.05</v>
      </c>
      <c r="Q101" s="388">
        <f t="shared" si="38"/>
        <v>3.05</v>
      </c>
      <c r="R101" s="388">
        <f t="shared" si="38"/>
        <v>3.05</v>
      </c>
      <c r="S101" s="388">
        <f t="shared" si="38"/>
        <v>3.05</v>
      </c>
      <c r="T101" s="388">
        <f t="shared" si="38"/>
        <v>3.05</v>
      </c>
      <c r="U101" s="394">
        <f t="shared" si="38"/>
        <v>3.05</v>
      </c>
    </row>
    <row r="102" spans="1:21" s="29" customFormat="1" ht="25.15" customHeight="1" thickBot="1" x14ac:dyDescent="0.25">
      <c r="A102" s="61"/>
      <c r="B102" s="62"/>
      <c r="D102" s="397" t="s">
        <v>224</v>
      </c>
      <c r="E102" s="398" t="s">
        <v>213</v>
      </c>
      <c r="F102" s="399">
        <f t="shared" ref="F102:U102" si="39">F62*F101</f>
        <v>122</v>
      </c>
      <c r="G102" s="277">
        <f t="shared" si="39"/>
        <v>121.14005118657815</v>
      </c>
      <c r="H102" s="277">
        <f t="shared" si="39"/>
        <v>120.28616394661292</v>
      </c>
      <c r="I102" s="277">
        <f t="shared" si="39"/>
        <v>119.4382955535231</v>
      </c>
      <c r="J102" s="277">
        <f t="shared" si="39"/>
        <v>118.59640358189706</v>
      </c>
      <c r="K102" s="399">
        <f t="shared" si="39"/>
        <v>117.76044590536961</v>
      </c>
      <c r="L102" s="277">
        <f t="shared" si="39"/>
        <v>116.93038069451428</v>
      </c>
      <c r="M102" s="277">
        <f t="shared" si="39"/>
        <v>116.10616641475025</v>
      </c>
      <c r="N102" s="277">
        <f t="shared" si="39"/>
        <v>115.28776182426398</v>
      </c>
      <c r="O102" s="277">
        <f t="shared" si="39"/>
        <v>114.47512597194567</v>
      </c>
      <c r="P102" s="399">
        <f t="shared" si="39"/>
        <v>113.66821819534</v>
      </c>
      <c r="Q102" s="277">
        <f t="shared" si="39"/>
        <v>112.86699811861166</v>
      </c>
      <c r="R102" s="277">
        <f t="shared" si="39"/>
        <v>112.07142565052489</v>
      </c>
      <c r="S102" s="277">
        <f t="shared" si="39"/>
        <v>111.28146098243749</v>
      </c>
      <c r="T102" s="277">
        <f t="shared" si="39"/>
        <v>110.49706458630885</v>
      </c>
      <c r="U102" s="400">
        <f t="shared" si="39"/>
        <v>109.71819721272202</v>
      </c>
    </row>
    <row r="103" spans="1:21" ht="13.5" thickTop="1" x14ac:dyDescent="0.2">
      <c r="D103" s="364"/>
      <c r="E103" s="364"/>
      <c r="F103" s="29"/>
      <c r="G103" s="362"/>
      <c r="H103" s="362"/>
      <c r="I103" s="362"/>
      <c r="J103" s="362"/>
      <c r="K103" s="362"/>
      <c r="L103" s="362"/>
      <c r="M103" s="362"/>
      <c r="N103" s="362"/>
      <c r="O103" s="362"/>
      <c r="P103" s="362"/>
      <c r="Q103" s="362"/>
      <c r="R103" s="362"/>
      <c r="S103" s="362"/>
      <c r="T103" s="362"/>
      <c r="U103" s="362"/>
    </row>
    <row r="104" spans="1:21" x14ac:dyDescent="0.2">
      <c r="D104"/>
      <c r="E104"/>
      <c r="F104" s="363"/>
      <c r="G104" s="356"/>
      <c r="H104"/>
      <c r="I104"/>
      <c r="J104"/>
      <c r="K104"/>
      <c r="L104"/>
      <c r="M104"/>
      <c r="N104"/>
      <c r="O104"/>
      <c r="P104"/>
      <c r="Q104"/>
      <c r="R104"/>
      <c r="S104"/>
      <c r="T104"/>
      <c r="U104"/>
    </row>
    <row r="105" spans="1:21" x14ac:dyDescent="0.2">
      <c r="D105"/>
      <c r="E105"/>
      <c r="F105" s="363"/>
      <c r="H105"/>
      <c r="I105"/>
      <c r="J105"/>
      <c r="K105"/>
      <c r="L105"/>
      <c r="M105"/>
      <c r="N105"/>
      <c r="O105"/>
      <c r="P105"/>
      <c r="Q105"/>
      <c r="R105"/>
      <c r="S105"/>
      <c r="T105"/>
      <c r="U105"/>
    </row>
    <row r="106" spans="1:21" x14ac:dyDescent="0.2">
      <c r="D106"/>
      <c r="E106"/>
      <c r="F106" s="363"/>
      <c r="H106"/>
      <c r="I106"/>
      <c r="J106"/>
      <c r="K106"/>
      <c r="L106"/>
      <c r="M106"/>
      <c r="N106"/>
      <c r="O106"/>
      <c r="P106"/>
      <c r="Q106"/>
      <c r="R106"/>
      <c r="S106"/>
      <c r="T106"/>
      <c r="U106"/>
    </row>
    <row r="107" spans="1:21" x14ac:dyDescent="0.2">
      <c r="D107"/>
      <c r="E107"/>
      <c r="F107" s="363"/>
      <c r="H107"/>
      <c r="I107"/>
      <c r="J107"/>
      <c r="K107"/>
      <c r="L107"/>
      <c r="M107"/>
      <c r="N107"/>
      <c r="O107"/>
      <c r="P107"/>
      <c r="Q107"/>
      <c r="R107"/>
      <c r="S107"/>
      <c r="T107"/>
      <c r="U107"/>
    </row>
  </sheetData>
  <sheetProtection password="E4B4" sheet="1" objects="1" scenarios="1" selectLockedCells="1" selectUnlockedCells="1"/>
  <mergeCells count="49">
    <mergeCell ref="D64:E64"/>
    <mergeCell ref="E39:F39"/>
    <mergeCell ref="E49:F49"/>
    <mergeCell ref="D61:E61"/>
    <mergeCell ref="D62:E62"/>
    <mergeCell ref="E31:F31"/>
    <mergeCell ref="E35:F35"/>
    <mergeCell ref="E37:F37"/>
    <mergeCell ref="E51:F51"/>
    <mergeCell ref="E9:F9"/>
    <mergeCell ref="E11:F11"/>
    <mergeCell ref="E15:F15"/>
    <mergeCell ref="E19:F19"/>
    <mergeCell ref="E23:F23"/>
    <mergeCell ref="E21:F21"/>
    <mergeCell ref="E17:F17"/>
    <mergeCell ref="E13:F13"/>
    <mergeCell ref="H15:I17"/>
    <mergeCell ref="H19:I21"/>
    <mergeCell ref="D70:E70"/>
    <mergeCell ref="D72:E72"/>
    <mergeCell ref="D71:E71"/>
    <mergeCell ref="D68:E68"/>
    <mergeCell ref="D69:E69"/>
    <mergeCell ref="E25:F25"/>
    <mergeCell ref="E29:F29"/>
    <mergeCell ref="E27:F27"/>
    <mergeCell ref="D63:E63"/>
    <mergeCell ref="E57:F57"/>
    <mergeCell ref="D65:E65"/>
    <mergeCell ref="D66:E66"/>
    <mergeCell ref="D67:E67"/>
    <mergeCell ref="D60:E60"/>
    <mergeCell ref="D79:D82"/>
    <mergeCell ref="D83:D86"/>
    <mergeCell ref="J46:L48"/>
    <mergeCell ref="E33:F33"/>
    <mergeCell ref="D74:E74"/>
    <mergeCell ref="D73:E73"/>
    <mergeCell ref="E41:F41"/>
    <mergeCell ref="E43:F43"/>
    <mergeCell ref="E45:F45"/>
    <mergeCell ref="D75:E75"/>
    <mergeCell ref="D76:E76"/>
    <mergeCell ref="D59:E59"/>
    <mergeCell ref="E47:F47"/>
    <mergeCell ref="H46:I48"/>
    <mergeCell ref="E53:F53"/>
    <mergeCell ref="E55:F55"/>
  </mergeCells>
  <dataValidations disablePrompts="1" count="1">
    <dataValidation allowBlank="1" showErrorMessage="1" sqref="E9:F9"/>
  </dataValidations>
  <pageMargins left="0.7" right="0.7" top="0.75" bottom="0.75" header="0.3" footer="0.3"/>
  <pageSetup paperSize="9" scale="32" orientation="portrait" r:id="rId1"/>
  <colBreaks count="1" manualBreakCount="1">
    <brk id="22"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showGridLines="0" workbookViewId="0">
      <selection activeCell="G33" sqref="G33"/>
    </sheetView>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sheetPr>
  <dimension ref="A1:AG54"/>
  <sheetViews>
    <sheetView showGridLines="0" topLeftCell="D1" zoomScale="55" zoomScaleNormal="55" workbookViewId="0">
      <selection activeCell="E30" sqref="E30"/>
    </sheetView>
  </sheetViews>
  <sheetFormatPr defaultColWidth="8.85546875" defaultRowHeight="12.75" x14ac:dyDescent="0.2"/>
  <cols>
    <col min="1" max="1" width="1.140625" style="4" customWidth="1"/>
    <col min="2" max="2" width="1.140625" style="15" customWidth="1"/>
    <col min="3" max="3" width="2.140625" style="9" customWidth="1"/>
    <col min="4" max="4" width="4.42578125" style="9" customWidth="1"/>
    <col min="5" max="5" width="73.7109375" style="10" customWidth="1"/>
    <col min="6" max="9" width="10.7109375" style="9" customWidth="1"/>
    <col min="10" max="10" width="10.7109375" style="27" customWidth="1"/>
    <col min="11" max="21" width="10.7109375" style="9" customWidth="1"/>
    <col min="22" max="22" width="9.5703125" style="9" bestFit="1" customWidth="1"/>
    <col min="23" max="16384" width="8.85546875" style="9"/>
  </cols>
  <sheetData>
    <row r="1" spans="2:21" s="4" customFormat="1" ht="6" customHeight="1" thickBot="1" x14ac:dyDescent="0.3">
      <c r="B1" s="15"/>
      <c r="E1" s="17"/>
      <c r="J1" s="25"/>
    </row>
    <row r="2" spans="2:21" s="14" customFormat="1" ht="6" customHeight="1" thickTop="1" x14ac:dyDescent="0.25">
      <c r="B2" s="16"/>
      <c r="E2" s="18"/>
      <c r="J2" s="26"/>
    </row>
    <row r="3" spans="2:21" ht="13.15" x14ac:dyDescent="0.25">
      <c r="F3"/>
      <c r="G3"/>
      <c r="H3"/>
    </row>
    <row r="4" spans="2:21" ht="13.15" x14ac:dyDescent="0.25">
      <c r="E4" s="1"/>
      <c r="F4"/>
      <c r="G4"/>
      <c r="H4"/>
    </row>
    <row r="5" spans="2:21" ht="13.15" x14ac:dyDescent="0.25">
      <c r="E5" s="1"/>
      <c r="F5"/>
      <c r="G5"/>
      <c r="H5"/>
    </row>
    <row r="6" spans="2:21" ht="13.9" thickBot="1" x14ac:dyDescent="0.3">
      <c r="F6"/>
      <c r="G6"/>
      <c r="H6"/>
    </row>
    <row r="7" spans="2:21" ht="42.6" customHeight="1" thickTop="1" thickBot="1" x14ac:dyDescent="0.3">
      <c r="E7" s="65" t="s">
        <v>33</v>
      </c>
      <c r="F7" s="63">
        <v>2015</v>
      </c>
      <c r="G7" s="63">
        <f t="shared" ref="G7:U7" si="0">F7+1</f>
        <v>2016</v>
      </c>
      <c r="H7" s="63">
        <f t="shared" si="0"/>
        <v>2017</v>
      </c>
      <c r="I7" s="63">
        <f t="shared" si="0"/>
        <v>2018</v>
      </c>
      <c r="J7" s="63">
        <f t="shared" si="0"/>
        <v>2019</v>
      </c>
      <c r="K7" s="63">
        <f t="shared" si="0"/>
        <v>2020</v>
      </c>
      <c r="L7" s="63">
        <f t="shared" si="0"/>
        <v>2021</v>
      </c>
      <c r="M7" s="63">
        <f t="shared" si="0"/>
        <v>2022</v>
      </c>
      <c r="N7" s="63">
        <f t="shared" si="0"/>
        <v>2023</v>
      </c>
      <c r="O7" s="63">
        <f t="shared" si="0"/>
        <v>2024</v>
      </c>
      <c r="P7" s="63">
        <f t="shared" si="0"/>
        <v>2025</v>
      </c>
      <c r="Q7" s="63">
        <f t="shared" si="0"/>
        <v>2026</v>
      </c>
      <c r="R7" s="63">
        <f t="shared" si="0"/>
        <v>2027</v>
      </c>
      <c r="S7" s="63">
        <f t="shared" si="0"/>
        <v>2028</v>
      </c>
      <c r="T7" s="63">
        <f>S7+1</f>
        <v>2029</v>
      </c>
      <c r="U7" s="64">
        <f t="shared" si="0"/>
        <v>2030</v>
      </c>
    </row>
    <row r="8" spans="2:21" ht="40.15" customHeight="1" thickTop="1" x14ac:dyDescent="0.2">
      <c r="D8" s="890" t="s">
        <v>32</v>
      </c>
      <c r="E8" s="573" t="s">
        <v>128</v>
      </c>
      <c r="F8" s="574">
        <f>IF(Input!E24&gt;0,Input!E24,712672)</f>
        <v>712672</v>
      </c>
      <c r="G8" s="575">
        <f>0.965313396851854*F8</f>
        <v>687951.82916120451</v>
      </c>
      <c r="H8" s="576">
        <f>0.930626793703707*F8</f>
        <v>663231.65832240833</v>
      </c>
      <c r="I8" s="576">
        <f>0.895940190555561*F8</f>
        <v>638511.48748361273</v>
      </c>
      <c r="J8" s="576">
        <f>0.861253587407414*F8</f>
        <v>613791.31664481654</v>
      </c>
      <c r="K8" s="576">
        <f>0.826566984259268*F8</f>
        <v>589071.14580602106</v>
      </c>
      <c r="L8" s="575">
        <f>0.800540538402992*F8</f>
        <v>570522.82658473717</v>
      </c>
      <c r="M8" s="576">
        <f>0.774980061010591*F8</f>
        <v>552306.59004053997</v>
      </c>
      <c r="N8" s="576">
        <f>0.749885552082067*F8</f>
        <v>534422.43617343088</v>
      </c>
      <c r="O8" s="576">
        <f>0.725257011617418*F8</f>
        <v>516870.36498340848</v>
      </c>
      <c r="P8" s="576">
        <f>0.701094439616646*F8</f>
        <v>499650.37647047429</v>
      </c>
      <c r="Q8" s="575">
        <f>0.682581474003886*F8</f>
        <v>486456.70424129744</v>
      </c>
      <c r="R8" s="576">
        <f>0.664305279912691*F8</f>
        <v>473431.77244593727</v>
      </c>
      <c r="S8" s="576">
        <f>0.646265857343059*F8</f>
        <v>460575.5810843925</v>
      </c>
      <c r="T8" s="576">
        <f>0.628463206294991*F8</f>
        <v>447888.13015666383</v>
      </c>
      <c r="U8" s="577">
        <f>0.610897326768487*F8</f>
        <v>435369.41966275114</v>
      </c>
    </row>
    <row r="9" spans="2:21" ht="40.15" customHeight="1" x14ac:dyDescent="0.2">
      <c r="D9" s="892"/>
      <c r="E9" s="578" t="s">
        <v>153</v>
      </c>
      <c r="F9" s="579">
        <v>0.55000000000000004</v>
      </c>
      <c r="G9" s="580">
        <f t="shared" ref="G9:U9" si="1">G10+G11+G12+G13</f>
        <v>0.52672373482022528</v>
      </c>
      <c r="H9" s="581">
        <f t="shared" si="1"/>
        <v>0.50632890070042247</v>
      </c>
      <c r="I9" s="581">
        <f t="shared" si="1"/>
        <v>0.48593406658061966</v>
      </c>
      <c r="J9" s="581">
        <f t="shared" si="1"/>
        <v>0.46553923246081697</v>
      </c>
      <c r="K9" s="582">
        <f t="shared" si="1"/>
        <v>0.44514439834101416</v>
      </c>
      <c r="L9" s="580">
        <f t="shared" si="1"/>
        <v>0.42245596535005636</v>
      </c>
      <c r="M9" s="581">
        <f t="shared" si="1"/>
        <v>0.39993949092463227</v>
      </c>
      <c r="N9" s="581">
        <f t="shared" si="1"/>
        <v>0.37759497506474171</v>
      </c>
      <c r="O9" s="581">
        <f t="shared" si="1"/>
        <v>0.3554224177703848</v>
      </c>
      <c r="P9" s="582">
        <f t="shared" si="1"/>
        <v>0.3334218190415616</v>
      </c>
      <c r="Q9" s="580">
        <f t="shared" si="1"/>
        <v>0.32215043262264564</v>
      </c>
      <c r="R9" s="581">
        <f t="shared" si="1"/>
        <v>0.31085894784911533</v>
      </c>
      <c r="S9" s="581">
        <f t="shared" si="1"/>
        <v>0.29954736472097077</v>
      </c>
      <c r="T9" s="581">
        <f t="shared" si="1"/>
        <v>0.28821568323821201</v>
      </c>
      <c r="U9" s="583">
        <f t="shared" si="1"/>
        <v>0.27686390340083861</v>
      </c>
    </row>
    <row r="10" spans="2:21" ht="40.15" customHeight="1" x14ac:dyDescent="0.2">
      <c r="D10" s="892"/>
      <c r="E10" s="584" t="s">
        <v>124</v>
      </c>
      <c r="F10" s="655">
        <f>IF(Input!E28&gt;0,Input!E28,0.09641626324021)</f>
        <v>9.6416263240210007E-2</v>
      </c>
      <c r="G10" s="585">
        <f>0.992776173555966*F10</f>
        <v>9.5719768888180443E-2</v>
      </c>
      <c r="H10" s="586">
        <f>0.985552347111932*F10</f>
        <v>9.5023274536150865E-2</v>
      </c>
      <c r="I10" s="586">
        <f>0.978328520667897*F10</f>
        <v>9.4326780184121189E-2</v>
      </c>
      <c r="J10" s="586">
        <f>0.971104694223863*F10</f>
        <v>9.3630285832091625E-2</v>
      </c>
      <c r="K10" s="586">
        <f>0.963880867779829*F10</f>
        <v>9.2933791480062047E-2</v>
      </c>
      <c r="L10" s="585">
        <f>0.956657041335794*F10</f>
        <v>9.2237297128032372E-2</v>
      </c>
      <c r="M10" s="586">
        <f>0.949433214891759*F10</f>
        <v>9.1540802776002711E-2</v>
      </c>
      <c r="N10" s="586">
        <f>0.942209388447724*F10</f>
        <v>9.0844308423973036E-2</v>
      </c>
      <c r="O10" s="586">
        <f>0.934985562003689*F10</f>
        <v>9.0147814071943375E-2</v>
      </c>
      <c r="P10" s="587">
        <f>0.927761735559654*F10</f>
        <v>8.9451319719913713E-2</v>
      </c>
      <c r="Q10" s="585">
        <f>0.92053790911562*F10</f>
        <v>8.8754825367884121E-2</v>
      </c>
      <c r="R10" s="586">
        <f>0.913314082671585*F10</f>
        <v>8.805833101585446E-2</v>
      </c>
      <c r="S10" s="586">
        <f>0.906090256227551*F10</f>
        <v>8.7361836663824896E-2</v>
      </c>
      <c r="T10" s="586">
        <f>0.898866429783517*F10</f>
        <v>8.6665342311795318E-2</v>
      </c>
      <c r="U10" s="588">
        <f>0.891642603339482*F10</f>
        <v>8.5968847959765643E-2</v>
      </c>
    </row>
    <row r="11" spans="2:21" ht="40.15" customHeight="1" x14ac:dyDescent="0.2">
      <c r="D11" s="892"/>
      <c r="E11" s="589" t="s">
        <v>125</v>
      </c>
      <c r="F11" s="659">
        <f>IF(Input!E29&gt;0,Input!E29,0.170624534866485)</f>
        <v>0.17062453486648499</v>
      </c>
      <c r="G11" s="287">
        <f>0.946322786585989*F11</f>
        <v>0.16146588529479031</v>
      </c>
      <c r="H11" s="288">
        <f>0.892645573171977*F11</f>
        <v>0.15230723572309546</v>
      </c>
      <c r="I11" s="288">
        <f>0.838968359757966*F11</f>
        <v>0.1431485861514008</v>
      </c>
      <c r="J11" s="288">
        <f>0.785291146343954*F11</f>
        <v>0.13398993657970595</v>
      </c>
      <c r="K11" s="288">
        <f>0.731613932929943*F11</f>
        <v>0.12483128700801127</v>
      </c>
      <c r="L11" s="287">
        <f>0.670145283790199*F11</f>
        <v>0.11434322733967128</v>
      </c>
      <c r="M11" s="288">
        <f>0.610724011268678*F11</f>
        <v>0.10420450035451213</v>
      </c>
      <c r="N11" s="288">
        <f>0.553350115365379*F11</f>
        <v>9.4415106052533601E-2</v>
      </c>
      <c r="O11" s="288">
        <f>0.498023596080302*F11</f>
        <v>8.4975044433735727E-2</v>
      </c>
      <c r="P11" s="590">
        <f>0.444744453413447*F11</f>
        <v>7.5884315498118499E-2</v>
      </c>
      <c r="Q11" s="287">
        <f>0.424707373226313*F11</f>
        <v>7.24654980111063E-2</v>
      </c>
      <c r="R11" s="288">
        <f>0.402997771019801*F11</f>
        <v>6.8761307232483776E-2</v>
      </c>
      <c r="S11" s="288">
        <f>0.379615646793912*F11</f>
        <v>6.4771743162251094E-2</v>
      </c>
      <c r="T11" s="288">
        <f>0.354561000548647*F11</f>
        <v>6.0496805800408421E-2</v>
      </c>
      <c r="U11" s="591">
        <f>0.327833832284004*F11</f>
        <v>5.593649514695543E-2</v>
      </c>
    </row>
    <row r="12" spans="2:21" ht="40.15" customHeight="1" x14ac:dyDescent="0.2">
      <c r="D12" s="892"/>
      <c r="E12" s="592" t="s">
        <v>126</v>
      </c>
      <c r="F12" s="659">
        <f>IF(Input!E30&gt;0,Input!E30,0.175813333333333)</f>
        <v>0.17581333333333299</v>
      </c>
      <c r="G12" s="593">
        <f>0.947110571818595*F12</f>
        <v>0.16651466666666626</v>
      </c>
      <c r="H12" s="368">
        <f>0.894221143637191*F12</f>
        <v>0.15721599999999969</v>
      </c>
      <c r="I12" s="368">
        <f>0.841331715455786*F12</f>
        <v>0.14791733333333296</v>
      </c>
      <c r="J12" s="368">
        <f>0.788442287274382*F12</f>
        <v>0.13861866666666642</v>
      </c>
      <c r="K12" s="368">
        <f>0.735552859092977*F12</f>
        <v>0.12931999999999966</v>
      </c>
      <c r="L12" s="593">
        <f>0.680381081539244*F12</f>
        <v>0.11962006588235273</v>
      </c>
      <c r="M12" s="368">
        <f>0.62420042647728*F12</f>
        <v>0.10974275764705864</v>
      </c>
      <c r="N12" s="368">
        <f>0.567010893907085*F12</f>
        <v>9.9688075294117454E-2</v>
      </c>
      <c r="O12" s="368">
        <f>0.50881248382866*F12</f>
        <v>8.9456018823529299E-2</v>
      </c>
      <c r="P12" s="594">
        <f>0.449605196242004*F12</f>
        <v>7.9046588235294049E-2</v>
      </c>
      <c r="Q12" s="593">
        <f>0.414590362820909*F12</f>
        <v>7.2890513655419931E-2</v>
      </c>
      <c r="R12" s="368">
        <f>0.381084373649374*F12</f>
        <v>6.6999714012541803E-2</v>
      </c>
      <c r="S12" s="368">
        <f>0.349087228727398*F12</f>
        <v>6.1374189306659478E-2</v>
      </c>
      <c r="T12" s="368">
        <f>0.318598928054981*F12</f>
        <v>5.6013939537772957E-2</v>
      </c>
      <c r="U12" s="595">
        <f>0.289619471632123*F12</f>
        <v>5.0918964705882218E-2</v>
      </c>
    </row>
    <row r="13" spans="2:21" ht="40.15" customHeight="1" thickBot="1" x14ac:dyDescent="0.25">
      <c r="D13" s="892"/>
      <c r="E13" s="589" t="s">
        <v>127</v>
      </c>
      <c r="F13" s="658">
        <f>IF(Input!E31&gt;0,Input!E31,0.1042644375)</f>
        <v>0.1042644375</v>
      </c>
      <c r="G13" s="287">
        <f>0.98809734594874*F13</f>
        <v>0.10302341397058828</v>
      </c>
      <c r="H13" s="288">
        <f>0.976194691897479*F13</f>
        <v>0.10178239044117646</v>
      </c>
      <c r="I13" s="288">
        <f>0.964292037846219*F13</f>
        <v>0.10054136691176474</v>
      </c>
      <c r="J13" s="288">
        <f>0.952389383794958*F13</f>
        <v>9.9300343382352912E-2</v>
      </c>
      <c r="K13" s="288">
        <f>0.940486729743698*F13</f>
        <v>9.8059319852941182E-2</v>
      </c>
      <c r="L13" s="287">
        <f>0.923185098466579*F13</f>
        <v>9.6255374999999976E-2</v>
      </c>
      <c r="M13" s="288">
        <f>0.90588346718946*F13</f>
        <v>9.4451430147058757E-2</v>
      </c>
      <c r="N13" s="288">
        <f>0.888581835912342*F13</f>
        <v>9.2647485294117635E-2</v>
      </c>
      <c r="O13" s="288">
        <f>0.871280204635223*F13</f>
        <v>9.0843540441176429E-2</v>
      </c>
      <c r="P13" s="288">
        <f>0.853978573358105*F13</f>
        <v>8.9039595588235307E-2</v>
      </c>
      <c r="Q13" s="287">
        <f>0.844387575468724*F13</f>
        <v>8.8039595588235306E-2</v>
      </c>
      <c r="R13" s="288">
        <f>0.834796577579343*F13</f>
        <v>8.7039595588235305E-2</v>
      </c>
      <c r="S13" s="288">
        <f>0.825205579689962*F13</f>
        <v>8.6039595588235318E-2</v>
      </c>
      <c r="T13" s="288">
        <f>0.815614581800581*F13</f>
        <v>8.5039595588235317E-2</v>
      </c>
      <c r="U13" s="591">
        <f>0.8060235839112*F13</f>
        <v>8.4039595588235316E-2</v>
      </c>
    </row>
    <row r="14" spans="2:21" ht="40.15" customHeight="1" x14ac:dyDescent="0.2">
      <c r="D14" s="892"/>
      <c r="E14" s="596" t="s">
        <v>108</v>
      </c>
      <c r="F14" s="597">
        <f>IF(Input!E25&gt;0,Input!E25,951700)</f>
        <v>951700</v>
      </c>
      <c r="G14" s="598">
        <f>0.959848328695189*F14</f>
        <v>913487.65441921132</v>
      </c>
      <c r="H14" s="599">
        <f>0.919696657390379*F14</f>
        <v>875275.30883842369</v>
      </c>
      <c r="I14" s="599">
        <f>0.879544986085568*F14</f>
        <v>837062.96325763501</v>
      </c>
      <c r="J14" s="599">
        <f>0.839393314780758*F14</f>
        <v>798850.61767684738</v>
      </c>
      <c r="K14" s="599">
        <f>0.799241643475947*F14</f>
        <v>760638.2720960587</v>
      </c>
      <c r="L14" s="598">
        <f>0.776669824967765*F14</f>
        <v>739156.67242182198</v>
      </c>
      <c r="M14" s="599">
        <f>0.755142550049326*F14</f>
        <v>718669.16488194349</v>
      </c>
      <c r="N14" s="599">
        <f>0.73465981872063*F14</f>
        <v>699175.7494764236</v>
      </c>
      <c r="O14" s="599">
        <f>0.715221630981675*F14</f>
        <v>680676.4262052601</v>
      </c>
      <c r="P14" s="599">
        <f>0.696827986832463*F14</f>
        <v>663171.19506845507</v>
      </c>
      <c r="Q14" s="598">
        <f>0.68485533990227*F14</f>
        <v>651776.82698499039</v>
      </c>
      <c r="R14" s="599">
        <f>0.673464066716982*F14</f>
        <v>640935.75229455181</v>
      </c>
      <c r="S14" s="599">
        <f>0.662654167276599*F14</f>
        <v>630647.97099713923</v>
      </c>
      <c r="T14" s="599">
        <f>0.65242564158112*F14</f>
        <v>620913.48309275194</v>
      </c>
      <c r="U14" s="600">
        <f>0.642778489630547*F14</f>
        <v>611732.28858139156</v>
      </c>
    </row>
    <row r="15" spans="2:21" ht="40.15" customHeight="1" x14ac:dyDescent="0.2">
      <c r="D15" s="892"/>
      <c r="E15" s="601" t="s">
        <v>153</v>
      </c>
      <c r="F15" s="579">
        <v>0.74</v>
      </c>
      <c r="G15" s="602">
        <f t="shared" ref="G15:U15" si="2">SUM(G16:G19)</f>
        <v>0.70764244230740081</v>
      </c>
      <c r="H15" s="603">
        <f t="shared" si="2"/>
        <v>0.67917498485759931</v>
      </c>
      <c r="I15" s="603">
        <f t="shared" si="2"/>
        <v>0.65070752740779791</v>
      </c>
      <c r="J15" s="603">
        <f t="shared" si="2"/>
        <v>0.62224006995799663</v>
      </c>
      <c r="K15" s="604">
        <f t="shared" si="2"/>
        <v>0.59417149200766417</v>
      </c>
      <c r="L15" s="602">
        <f t="shared" si="2"/>
        <v>0.56452409012546223</v>
      </c>
      <c r="M15" s="603">
        <f t="shared" si="2"/>
        <v>0.53532159192448081</v>
      </c>
      <c r="N15" s="603">
        <f t="shared" si="2"/>
        <v>0.50656399740471902</v>
      </c>
      <c r="O15" s="603">
        <f t="shared" si="2"/>
        <v>0.47825130656617793</v>
      </c>
      <c r="P15" s="604">
        <f t="shared" si="2"/>
        <v>0.45038351940885696</v>
      </c>
      <c r="Q15" s="602">
        <f t="shared" si="2"/>
        <v>0.43549607884081798</v>
      </c>
      <c r="R15" s="603">
        <f t="shared" si="2"/>
        <v>0.42037084826014204</v>
      </c>
      <c r="S15" s="603">
        <f t="shared" si="2"/>
        <v>0.40500782766682858</v>
      </c>
      <c r="T15" s="603">
        <f t="shared" si="2"/>
        <v>0.38940701706087827</v>
      </c>
      <c r="U15" s="605">
        <f t="shared" si="2"/>
        <v>0.37356841644229039</v>
      </c>
    </row>
    <row r="16" spans="2:21" ht="40.15" customHeight="1" x14ac:dyDescent="0.2">
      <c r="D16" s="892"/>
      <c r="E16" s="606" t="s">
        <v>124</v>
      </c>
      <c r="F16" s="655">
        <f>IF(Input!E34&gt;0,Input!E34,0.134869907407407)</f>
        <v>0.13486990740740701</v>
      </c>
      <c r="G16" s="607">
        <f>0.993612273830406*F16</f>
        <v>0.13400839537036999</v>
      </c>
      <c r="H16" s="608">
        <f>0.987224547660812*F16</f>
        <v>0.13314688333333299</v>
      </c>
      <c r="I16" s="608">
        <f>0.980836821491219*F16</f>
        <v>0.13228537129629611</v>
      </c>
      <c r="J16" s="608">
        <f>0.974449095321625*F16</f>
        <v>0.13142385925925909</v>
      </c>
      <c r="K16" s="608">
        <f>0.968061369152031*F16</f>
        <v>0.13056234722222207</v>
      </c>
      <c r="L16" s="607">
        <f>0.961673642982436*F16</f>
        <v>0.12970083518518491</v>
      </c>
      <c r="M16" s="608">
        <f>0.955285916812842*F16</f>
        <v>0.12883932314814792</v>
      </c>
      <c r="N16" s="608">
        <f>0.948898190643247*F16</f>
        <v>0.12797781111111076</v>
      </c>
      <c r="O16" s="608">
        <f>0.942510464473653*F16</f>
        <v>0.12711629907407376</v>
      </c>
      <c r="P16" s="609">
        <f>0.936122738304059*F16</f>
        <v>0.12625478703703674</v>
      </c>
      <c r="Q16" s="607">
        <f>0.929735012134465*F16</f>
        <v>0.12539327499999972</v>
      </c>
      <c r="R16" s="608">
        <f>0.923347285964871*F16</f>
        <v>0.12453176296296271</v>
      </c>
      <c r="S16" s="608">
        <f>0.916959559795277*F16</f>
        <v>0.12367025092592569</v>
      </c>
      <c r="T16" s="608">
        <f>0.910571833625683*F16</f>
        <v>0.12280873888888867</v>
      </c>
      <c r="U16" s="610">
        <f>0.904184107456089*F16</f>
        <v>0.12194722685185168</v>
      </c>
    </row>
    <row r="17" spans="4:21" ht="40.15" customHeight="1" x14ac:dyDescent="0.2">
      <c r="D17" s="892"/>
      <c r="E17" s="611" t="s">
        <v>125</v>
      </c>
      <c r="F17" s="657">
        <f>IF(Input!E35&gt;0,Input!E35,0.227209268391462)</f>
        <v>0.22720926839146199</v>
      </c>
      <c r="G17" s="612">
        <f>0.943569728211676*F17</f>
        <v>0.21438778762330554</v>
      </c>
      <c r="H17" s="613">
        <f>0.887139456423351*F17</f>
        <v>0.20156630685514887</v>
      </c>
      <c r="I17" s="613">
        <f>0.830709184635027*F17</f>
        <v>0.18874482608699239</v>
      </c>
      <c r="J17" s="613">
        <f>0.774278912846703*F17</f>
        <v>0.17592334531883597</v>
      </c>
      <c r="K17" s="613">
        <f>0.717848641058379*F17</f>
        <v>0.16310186455067949</v>
      </c>
      <c r="L17" s="612">
        <f>0.669067818999252*F17</f>
        <v>0.15201840965909116</v>
      </c>
      <c r="M17" s="613">
        <f>0.619167687683489*F17</f>
        <v>0.14068063733019875</v>
      </c>
      <c r="N17" s="613">
        <f>0.568148247111089*F17</f>
        <v>0.12908854756400209</v>
      </c>
      <c r="O17" s="613">
        <f>0.516009497282054*F17</f>
        <v>0.1172421403605016</v>
      </c>
      <c r="P17" s="614">
        <f>0.462751438196383*F17</f>
        <v>0.10514141571969701</v>
      </c>
      <c r="Q17" s="612">
        <f>0.431455654902988*F17</f>
        <v>9.8030723693867006E-2</v>
      </c>
      <c r="R17" s="613">
        <f>0.400924752326588*F17</f>
        <v>9.1093819656152153E-2</v>
      </c>
      <c r="S17" s="613">
        <f>0.371158730467181*F17</f>
        <v>8.4330703606552038E-2</v>
      </c>
      <c r="T17" s="613">
        <f>0.34215758932477*F17</f>
        <v>7.7741375545067298E-2</v>
      </c>
      <c r="U17" s="615">
        <f>0.313921328899352*F17</f>
        <v>7.1325835471697283E-2</v>
      </c>
    </row>
    <row r="18" spans="4:21" ht="40.15" customHeight="1" x14ac:dyDescent="0.2">
      <c r="D18" s="892"/>
      <c r="E18" s="616" t="s">
        <v>126</v>
      </c>
      <c r="F18" s="657">
        <f>IF(Input!E36&gt;0,Input!E36,0.246433333333333)</f>
        <v>0.246433333333333</v>
      </c>
      <c r="G18" s="617">
        <f>0.945532260246179*F18</f>
        <v>0.23301066666666639</v>
      </c>
      <c r="H18" s="618">
        <f>0.891064520492358*F18</f>
        <v>0.21958799999999978</v>
      </c>
      <c r="I18" s="618">
        <f>0.836596780738536*F18</f>
        <v>0.20616533333333295</v>
      </c>
      <c r="J18" s="618">
        <f>0.782129040984715*F18</f>
        <v>0.19274266666666634</v>
      </c>
      <c r="K18" s="618">
        <f>0.729279911400522*F18</f>
        <v>0.17971887949946838</v>
      </c>
      <c r="L18" s="617">
        <f>0.666396237047804*F18</f>
        <v>0.16422224601648028</v>
      </c>
      <c r="M18" s="618">
        <f>0.606349926898485*F18</f>
        <v>0.14942483365201645</v>
      </c>
      <c r="N18" s="618">
        <f>0.549140980952564*F18</f>
        <v>0.13532664240607667</v>
      </c>
      <c r="O18" s="618">
        <f>0.494769399210043*F18</f>
        <v>0.12192767227866143</v>
      </c>
      <c r="P18" s="619">
        <f>0.44323518167092*F18</f>
        <v>0.10922792326977024</v>
      </c>
      <c r="Q18" s="617">
        <f>0.419231991786616*F18</f>
        <v>0.10331273717594827</v>
      </c>
      <c r="R18" s="618">
        <f>0.393558560296359*F18</f>
        <v>9.6985947875699266E-2</v>
      </c>
      <c r="S18" s="618">
        <f>0.366214887200147*F18</f>
        <v>9.0247555369022778E-2</v>
      </c>
      <c r="T18" s="618">
        <f>0.337200972497982*F18</f>
        <v>8.3097559655919251E-2</v>
      </c>
      <c r="U18" s="620">
        <f>0.306516816189863*F18</f>
        <v>7.5535960736388463E-2</v>
      </c>
    </row>
    <row r="19" spans="4:21" ht="40.15" customHeight="1" thickBot="1" x14ac:dyDescent="0.25">
      <c r="D19" s="891"/>
      <c r="E19" s="621" t="s">
        <v>127</v>
      </c>
      <c r="F19" s="656">
        <f>IF(Input!E37&gt;0,Input!E37,0.127597390625)</f>
        <v>0.127597390625</v>
      </c>
      <c r="G19" s="651">
        <f>0.989327383802515*F19</f>
        <v>0.1262355926470588</v>
      </c>
      <c r="H19" s="652">
        <f>0.97865476760503*F19</f>
        <v>0.1248737946691176</v>
      </c>
      <c r="I19" s="652">
        <f>0.967982151407545*F19</f>
        <v>0.12351199669117641</v>
      </c>
      <c r="J19" s="652">
        <f>0.95730953521006*F19</f>
        <v>0.12215019871323522</v>
      </c>
      <c r="K19" s="652">
        <f>0.946636919012576*F19</f>
        <v>0.12078840073529415</v>
      </c>
      <c r="L19" s="651">
        <f>0.929349720114669*F19</f>
        <v>0.11858259926470584</v>
      </c>
      <c r="M19" s="652">
        <f>0.912062521216763*F19</f>
        <v>0.11637679779411766</v>
      </c>
      <c r="N19" s="652">
        <f>0.894775322318857*F19</f>
        <v>0.11417099632352948</v>
      </c>
      <c r="O19" s="652">
        <f>0.87748812342095*F19</f>
        <v>0.11196519485294117</v>
      </c>
      <c r="P19" s="652">
        <f>0.860200924523044*F19</f>
        <v>0.10975939338235298</v>
      </c>
      <c r="Q19" s="651">
        <f>0.852363378579106*F19</f>
        <v>0.10875934297100295</v>
      </c>
      <c r="R19" s="652">
        <f>0.844526030175846*F19</f>
        <v>0.10775931776532796</v>
      </c>
      <c r="S19" s="652">
        <f>0.836688879313264*F19</f>
        <v>0.10675931776532803</v>
      </c>
      <c r="T19" s="652">
        <f>0.828851925991359*F19</f>
        <v>0.10575934297100303</v>
      </c>
      <c r="U19" s="653">
        <f>0.821015170210131*F19</f>
        <v>0.10475939338235296</v>
      </c>
    </row>
    <row r="20" spans="4:21" ht="12.6" customHeight="1" thickTop="1" x14ac:dyDescent="0.25">
      <c r="E20" s="263"/>
      <c r="G20" s="2"/>
      <c r="H20" s="2"/>
    </row>
    <row r="21" spans="4:21" ht="13.15" x14ac:dyDescent="0.25">
      <c r="E21" s="289"/>
    </row>
    <row r="22" spans="4:21" ht="48.6" customHeight="1" thickBot="1" x14ac:dyDescent="0.3"/>
    <row r="23" spans="4:21" ht="39.75" customHeight="1" thickTop="1" thickBot="1" x14ac:dyDescent="0.3">
      <c r="E23" s="65" t="s">
        <v>140</v>
      </c>
      <c r="F23" s="63">
        <v>2015</v>
      </c>
      <c r="G23" s="63">
        <f t="shared" ref="G23:U23" si="3">F23+1</f>
        <v>2016</v>
      </c>
      <c r="H23" s="63">
        <f t="shared" si="3"/>
        <v>2017</v>
      </c>
      <c r="I23" s="63">
        <f t="shared" si="3"/>
        <v>2018</v>
      </c>
      <c r="J23" s="63">
        <f t="shared" si="3"/>
        <v>2019</v>
      </c>
      <c r="K23" s="63">
        <f t="shared" si="3"/>
        <v>2020</v>
      </c>
      <c r="L23" s="63">
        <f t="shared" si="3"/>
        <v>2021</v>
      </c>
      <c r="M23" s="63">
        <f t="shared" si="3"/>
        <v>2022</v>
      </c>
      <c r="N23" s="63">
        <f t="shared" si="3"/>
        <v>2023</v>
      </c>
      <c r="O23" s="63">
        <f t="shared" si="3"/>
        <v>2024</v>
      </c>
      <c r="P23" s="63">
        <f t="shared" si="3"/>
        <v>2025</v>
      </c>
      <c r="Q23" s="63">
        <f t="shared" si="3"/>
        <v>2026</v>
      </c>
      <c r="R23" s="63">
        <f t="shared" si="3"/>
        <v>2027</v>
      </c>
      <c r="S23" s="63">
        <f t="shared" si="3"/>
        <v>2028</v>
      </c>
      <c r="T23" s="63">
        <f t="shared" si="3"/>
        <v>2029</v>
      </c>
      <c r="U23" s="64">
        <f t="shared" si="3"/>
        <v>2030</v>
      </c>
    </row>
    <row r="24" spans="4:21" ht="40.15" customHeight="1" thickTop="1" x14ac:dyDescent="0.2">
      <c r="D24" s="890" t="s">
        <v>32</v>
      </c>
      <c r="E24" s="104" t="s">
        <v>141</v>
      </c>
      <c r="F24" s="271">
        <v>0.82</v>
      </c>
      <c r="G24" s="272">
        <f t="shared" ref="G24:J25" si="4">F24-($F24-$K24)/5</f>
        <v>0.83</v>
      </c>
      <c r="H24" s="273">
        <f t="shared" si="4"/>
        <v>0.84</v>
      </c>
      <c r="I24" s="273">
        <f t="shared" si="4"/>
        <v>0.85</v>
      </c>
      <c r="J24" s="273">
        <f t="shared" si="4"/>
        <v>0.86</v>
      </c>
      <c r="K24" s="271">
        <v>0.87</v>
      </c>
      <c r="L24" s="272">
        <f t="shared" ref="L24:O25" si="5">K24-($K24-$P24)/5</f>
        <v>0.88100000000000001</v>
      </c>
      <c r="M24" s="273">
        <f t="shared" si="5"/>
        <v>0.89200000000000002</v>
      </c>
      <c r="N24" s="273">
        <f t="shared" si="5"/>
        <v>0.90300000000000002</v>
      </c>
      <c r="O24" s="273">
        <f t="shared" si="5"/>
        <v>0.91400000000000003</v>
      </c>
      <c r="P24" s="271">
        <v>0.92500000000000004</v>
      </c>
      <c r="Q24" s="272">
        <f t="shared" ref="Q24:T25" si="6">P24-($P24-$U24)/5</f>
        <v>0.93</v>
      </c>
      <c r="R24" s="273">
        <f t="shared" si="6"/>
        <v>0.93500000000000005</v>
      </c>
      <c r="S24" s="273">
        <f t="shared" si="6"/>
        <v>0.94000000000000006</v>
      </c>
      <c r="T24" s="273">
        <f t="shared" si="6"/>
        <v>0.94500000000000006</v>
      </c>
      <c r="U24" s="274">
        <v>0.95</v>
      </c>
    </row>
    <row r="25" spans="4:21" ht="40.15" customHeight="1" thickBot="1" x14ac:dyDescent="0.25">
      <c r="D25" s="891"/>
      <c r="E25" s="270" t="s">
        <v>142</v>
      </c>
      <c r="F25" s="275">
        <v>15</v>
      </c>
      <c r="G25" s="276">
        <f t="shared" si="4"/>
        <v>14.4</v>
      </c>
      <c r="H25" s="277">
        <f t="shared" si="4"/>
        <v>13.8</v>
      </c>
      <c r="I25" s="277">
        <f t="shared" si="4"/>
        <v>13.200000000000001</v>
      </c>
      <c r="J25" s="277">
        <f t="shared" si="4"/>
        <v>12.600000000000001</v>
      </c>
      <c r="K25" s="278">
        <v>12</v>
      </c>
      <c r="L25" s="276">
        <f t="shared" si="5"/>
        <v>11.4</v>
      </c>
      <c r="M25" s="277">
        <f t="shared" si="5"/>
        <v>10.8</v>
      </c>
      <c r="N25" s="277">
        <f t="shared" si="5"/>
        <v>10.200000000000001</v>
      </c>
      <c r="O25" s="277">
        <f t="shared" si="5"/>
        <v>9.6000000000000014</v>
      </c>
      <c r="P25" s="278">
        <v>9</v>
      </c>
      <c r="Q25" s="276">
        <f t="shared" si="6"/>
        <v>8.6</v>
      </c>
      <c r="R25" s="277">
        <f t="shared" si="6"/>
        <v>8.1999999999999993</v>
      </c>
      <c r="S25" s="277">
        <f t="shared" si="6"/>
        <v>7.7999999999999989</v>
      </c>
      <c r="T25" s="277">
        <f t="shared" si="6"/>
        <v>7.3999999999999986</v>
      </c>
      <c r="U25" s="279">
        <v>7</v>
      </c>
    </row>
    <row r="26" spans="4:21" ht="13.9" thickTop="1" x14ac:dyDescent="0.25">
      <c r="E26" s="269" t="s">
        <v>139</v>
      </c>
    </row>
    <row r="27" spans="4:21" ht="32.450000000000003" customHeight="1" thickBot="1" x14ac:dyDescent="0.3">
      <c r="R27" s="405"/>
      <c r="S27" s="405"/>
      <c r="T27" s="405"/>
      <c r="U27" s="405"/>
    </row>
    <row r="28" spans="4:21" ht="30" customHeight="1" thickTop="1" thickBot="1" x14ac:dyDescent="0.3">
      <c r="E28" s="66" t="s">
        <v>54</v>
      </c>
      <c r="F28" s="894">
        <f>MAX(SUM(Input!E8:P8),SUM(Input!F8:Q8),SUM(Input!G8:R8),SUM(Input!H8:S8),SUM(Input!I8:T8),(SUM(Input!E8:O8)))</f>
        <v>0</v>
      </c>
      <c r="G28" s="895"/>
      <c r="I28" s="900" t="s">
        <v>26</v>
      </c>
      <c r="J28" s="901"/>
      <c r="K28" s="901"/>
      <c r="L28" s="901"/>
      <c r="M28" s="901"/>
      <c r="N28" s="893">
        <f>IF(F28&lt;R28,R29,IF(F28&lt;S28,S29,IF(F28&lt;T28,T29,IF(F28&lt;U28,U29,"Error"))))</f>
        <v>600</v>
      </c>
      <c r="O28" s="893"/>
      <c r="P28" s="70" t="s">
        <v>27</v>
      </c>
      <c r="Q28" s="148">
        <f>IF(F28&lt;R28,R28-1,IF(F28&lt;S28,S28-1,IF(F28&lt;T28,T28-1,IF(F28&lt;U28,U28-1,"Error"))))</f>
        <v>20</v>
      </c>
      <c r="R28" s="466">
        <v>21</v>
      </c>
      <c r="S28" s="466">
        <v>51</v>
      </c>
      <c r="T28" s="466">
        <v>101</v>
      </c>
      <c r="U28" s="467">
        <v>201</v>
      </c>
    </row>
    <row r="29" spans="4:21" ht="14.45" thickTop="1" thickBot="1" x14ac:dyDescent="0.3">
      <c r="D29"/>
      <c r="E29"/>
      <c r="F29"/>
      <c r="G29"/>
      <c r="H29"/>
      <c r="J29" s="9"/>
      <c r="R29" s="466">
        <v>600</v>
      </c>
      <c r="S29" s="466">
        <v>1500</v>
      </c>
      <c r="T29" s="466">
        <v>3000</v>
      </c>
      <c r="U29" s="466">
        <v>6000</v>
      </c>
    </row>
    <row r="30" spans="4:21" ht="30" customHeight="1" thickTop="1" thickBot="1" x14ac:dyDescent="0.3">
      <c r="E30" s="65" t="s">
        <v>242</v>
      </c>
      <c r="F30" s="902">
        <f>Input!G16</f>
        <v>2015</v>
      </c>
      <c r="G30" s="903"/>
      <c r="J30" s="9"/>
      <c r="R30" s="466"/>
      <c r="S30" s="466"/>
      <c r="T30" s="466"/>
      <c r="U30" s="466"/>
    </row>
    <row r="31" spans="4:21" ht="34.9" customHeight="1" thickTop="1" x14ac:dyDescent="0.2">
      <c r="E31" s="407" t="s">
        <v>240</v>
      </c>
      <c r="F31" s="904">
        <f>'Infrastructure options'!E40</f>
        <v>96</v>
      </c>
      <c r="G31" s="905"/>
      <c r="J31" s="60"/>
      <c r="K31" s="60"/>
      <c r="M31" s="60"/>
    </row>
    <row r="32" spans="4:21" ht="34.9" customHeight="1" x14ac:dyDescent="0.2">
      <c r="E32" s="408" t="s">
        <v>239</v>
      </c>
      <c r="F32" s="906">
        <f>IF(Input!E41="",'Infrastructure options'!K40,Input!E41)</f>
        <v>2496666.6666666665</v>
      </c>
      <c r="G32" s="907"/>
      <c r="J32" s="60"/>
      <c r="K32" s="60"/>
      <c r="M32" s="60"/>
    </row>
    <row r="33" spans="5:24" ht="34.9" customHeight="1" thickBot="1" x14ac:dyDescent="0.25">
      <c r="E33" s="409" t="s">
        <v>238</v>
      </c>
      <c r="F33" s="908">
        <f>IF(Input!E42="",'Infrastructure options'!Q40,Input!E42)</f>
        <v>151000</v>
      </c>
      <c r="G33" s="909"/>
      <c r="J33" s="9"/>
    </row>
    <row r="34" spans="5:24" ht="14.25" thickTop="1" thickBot="1" x14ac:dyDescent="0.25"/>
    <row r="35" spans="5:24" ht="30" customHeight="1" thickTop="1" x14ac:dyDescent="0.2">
      <c r="E35" s="65" t="s">
        <v>151</v>
      </c>
      <c r="F35" s="63">
        <v>2015</v>
      </c>
      <c r="G35" s="63">
        <v>2020</v>
      </c>
      <c r="H35" s="63">
        <v>2025</v>
      </c>
      <c r="I35" s="64">
        <v>2030</v>
      </c>
      <c r="J35" s="9"/>
      <c r="K35" s="285">
        <v>2015</v>
      </c>
      <c r="L35" s="63">
        <v>2020</v>
      </c>
      <c r="M35" s="63">
        <v>2025</v>
      </c>
      <c r="N35" s="64">
        <v>2030</v>
      </c>
    </row>
    <row r="36" spans="5:24" ht="30" customHeight="1" x14ac:dyDescent="0.2">
      <c r="E36" s="511" t="s">
        <v>323</v>
      </c>
      <c r="F36" s="357">
        <f>Input!$E$55</f>
        <v>110</v>
      </c>
      <c r="G36" s="357">
        <f>$F$36*(1+Input!$E$56)^('Price evolution'!G35-'Price evolution'!$F$35)</f>
        <v>115.61110551099999</v>
      </c>
      <c r="H36" s="357">
        <f>$F$36*(1+Input!$E$56)^('Price evolution'!H35-'Price evolution'!$F$35)</f>
        <v>121.50843379523252</v>
      </c>
      <c r="I36" s="358">
        <f>$F$36*(1+Input!$E$56)^('Price evolution'!I35-'Price evolution'!$F$35)</f>
        <v>127.70658509069983</v>
      </c>
      <c r="J36" s="9"/>
      <c r="K36" s="411">
        <f>IF(Input!$E$20=$F$50,F36*(1+H50),IF(Input!$E$20=$F$53,F36*(1+H53),IF(Input!$E$20=$O$53,F36*(1+Q53),F36*(1+Q50))))</f>
        <v>110</v>
      </c>
      <c r="L36" s="412">
        <f>IF(Input!$E$20=$F$50,G36*(1+I50),IF(Input!$E$20=$F$53,G36*(1+I53),IF(Input!$E$20=$O$53,G36*(1+R53),G36*(1+R50))))</f>
        <v>115.61110551099999</v>
      </c>
      <c r="M36" s="412">
        <f>IF(Input!$E$20=$F$50,H36*(1+J50),IF(Input!$E$20=$F$53,H36*(1+J53),IF(Input!$E$20=$O$53,H36*(1+S53),H36*(1+S50))))</f>
        <v>121.50843379523252</v>
      </c>
      <c r="N36" s="413">
        <f>IF(Input!$E$20=$F$50,I36*(1+K50),IF(Input!$E$20=$F$53,I36*(1+K53),IF(Input!$E$20=$O$53,I36*(1+T53),I36*(1+T50))))</f>
        <v>127.70658509069983</v>
      </c>
    </row>
    <row r="37" spans="5:24" ht="30" customHeight="1" thickBot="1" x14ac:dyDescent="0.25">
      <c r="E37" s="512" t="s">
        <v>322</v>
      </c>
      <c r="F37" s="322">
        <f>Input!$E$57</f>
        <v>42</v>
      </c>
      <c r="G37" s="322">
        <f>$F$37*(1+Input!$E$58)^('Price evolution'!G35-'Price evolution'!$F$35)</f>
        <v>44.142422104199994</v>
      </c>
      <c r="H37" s="322">
        <f>$F$37*(1+Input!$E$58)^('Price evolution'!H35-'Price evolution'!$F$35)</f>
        <v>46.3941292672706</v>
      </c>
      <c r="I37" s="323">
        <f>$F$37*(1+Input!$E$58)^('Price evolution'!I35-'Price evolution'!$F$35)</f>
        <v>48.760696125539937</v>
      </c>
      <c r="J37" s="9"/>
      <c r="K37" s="414">
        <f>IF(Input!$E$20=$F$50,F37*(1+H51),IF(Input!$E$20=$F$53,F37*(1+H54),IF(Input!$E$20=$O$53,F37*(1+Q54),F37*(1+Q51))))</f>
        <v>42</v>
      </c>
      <c r="L37" s="415">
        <f>IF(Input!$E$20=$F$50,G37*(1+I51),IF(Input!$E$20=$F$53,G37*(1+I54),IF(Input!$E$20=$O$53,G37*(1+R54),G37*(1+R51))))</f>
        <v>44.142422104199994</v>
      </c>
      <c r="M37" s="415">
        <f>IF(Input!$E$20=$F$50,H37*(1+J51),IF(Input!$E$20=$F$53,H37*(1+J54),IF(Input!$E$20=$O$53,H37*(1+S54),H37*(1+S51))))</f>
        <v>46.3941292672706</v>
      </c>
      <c r="N37" s="416">
        <f>IF(Input!$E$20=$F$50,I37*(1+K51),IF(Input!$E$20=$F$53,I37*(1+K54),IF(Input!$E$20=$O$53,I37*(1+T54),I37*(1+T51))))</f>
        <v>48.760696125539937</v>
      </c>
    </row>
    <row r="38" spans="5:24" ht="14.25" thickTop="1" thickBot="1" x14ac:dyDescent="0.25"/>
    <row r="39" spans="5:24" ht="34.9" customHeight="1" thickTop="1" x14ac:dyDescent="0.2">
      <c r="E39" s="65" t="s">
        <v>186</v>
      </c>
      <c r="F39" s="63">
        <v>2015</v>
      </c>
      <c r="G39" s="63">
        <v>2020</v>
      </c>
      <c r="H39" s="63">
        <v>2025</v>
      </c>
      <c r="I39" s="64">
        <v>2030</v>
      </c>
      <c r="J39" s="9"/>
    </row>
    <row r="40" spans="5:24" ht="34.9" customHeight="1" x14ac:dyDescent="0.2">
      <c r="E40" s="509" t="s">
        <v>154</v>
      </c>
      <c r="F40" s="513">
        <f>IF(Input!$G$16=F39,'Infrastructure options'!$W$40,IF(Input!$G$16&gt;F39,0,IF(Input!$G$16&lt;F39,"Table below","Table below")))</f>
        <v>4.0291176470588228</v>
      </c>
      <c r="G40" s="515" t="str">
        <f>IF(Input!$G$16=G39,'Infrastructure options'!$W$40,IF(Input!$G$16&gt;G39,0,IF(Input!$G$16&lt;G39,"Table below","Table below")))</f>
        <v>Table below</v>
      </c>
      <c r="H40" s="515" t="str">
        <f>IF(Input!$G$16=H39,'Infrastructure options'!$W$40,IF(Input!$G$16&gt;H39,0,IF(Input!$G$16&lt;H39,"Table below","Table below")))</f>
        <v>Table below</v>
      </c>
      <c r="I40" s="516" t="str">
        <f>IF(Input!$G$16=I39,'Infrastructure options'!$W$40,IF(Input!$G$16&gt;I39,0,IF(Input!$G$16&lt;I39,"Table below","Table below")))</f>
        <v>Table below</v>
      </c>
      <c r="J40" s="9"/>
    </row>
    <row r="41" spans="5:24" ht="34.9" customHeight="1" thickBot="1" x14ac:dyDescent="0.25">
      <c r="E41" s="510" t="s">
        <v>241</v>
      </c>
      <c r="F41" s="514">
        <f>IF(Input!$G$16=F39,'Infrastructure options'!$AC$40,IF(Input!$G$16&gt;F39,0,IF(Input!$G$16&lt;F39,"Table below","Table below")))</f>
        <v>0.82999999999999985</v>
      </c>
      <c r="G41" s="517" t="str">
        <f>IF(Input!$G$16=G39,'Infrastructure options'!$AC$40,IF(Input!$G$16&gt;G39,0,IF(Input!$G$16&lt;G39,"Table below","Table below")))</f>
        <v>Table below</v>
      </c>
      <c r="H41" s="517" t="str">
        <f>IF(Input!$G$16=H39,'Infrastructure options'!$AC$40,IF(Input!$G$16&gt;H39,0,IF(Input!$G$16&lt;H39,"Table below","Table below")))</f>
        <v>Table below</v>
      </c>
      <c r="I41" s="518" t="str">
        <f>IF(Input!$G$16=I39,'Infrastructure options'!$AC$40,IF(Input!$G$16&gt;I39,0,IF(Input!$G$16&lt;I39,"Table below","Table below")))</f>
        <v>Table below</v>
      </c>
      <c r="J41" s="9"/>
    </row>
    <row r="42" spans="5:24" ht="14.25" thickTop="1" thickBot="1" x14ac:dyDescent="0.25">
      <c r="E42" s="359"/>
      <c r="J42" s="9"/>
    </row>
    <row r="43" spans="5:24" ht="30" customHeight="1" thickTop="1" x14ac:dyDescent="0.2">
      <c r="E43" s="65"/>
      <c r="F43" s="63">
        <v>2015</v>
      </c>
      <c r="G43" s="63">
        <f t="shared" ref="G43:U43" si="7">F43+1</f>
        <v>2016</v>
      </c>
      <c r="H43" s="63">
        <f t="shared" si="7"/>
        <v>2017</v>
      </c>
      <c r="I43" s="63">
        <f t="shared" si="7"/>
        <v>2018</v>
      </c>
      <c r="J43" s="63">
        <f t="shared" si="7"/>
        <v>2019</v>
      </c>
      <c r="K43" s="63">
        <f t="shared" si="7"/>
        <v>2020</v>
      </c>
      <c r="L43" s="63">
        <f t="shared" si="7"/>
        <v>2021</v>
      </c>
      <c r="M43" s="63">
        <f t="shared" si="7"/>
        <v>2022</v>
      </c>
      <c r="N43" s="63">
        <f t="shared" si="7"/>
        <v>2023</v>
      </c>
      <c r="O43" s="63">
        <f t="shared" si="7"/>
        <v>2024</v>
      </c>
      <c r="P43" s="63">
        <f t="shared" si="7"/>
        <v>2025</v>
      </c>
      <c r="Q43" s="63">
        <f t="shared" si="7"/>
        <v>2026</v>
      </c>
      <c r="R43" s="63">
        <f t="shared" si="7"/>
        <v>2027</v>
      </c>
      <c r="S43" s="63">
        <f t="shared" si="7"/>
        <v>2028</v>
      </c>
      <c r="T43" s="63">
        <f t="shared" si="7"/>
        <v>2029</v>
      </c>
      <c r="U43" s="64">
        <f t="shared" si="7"/>
        <v>2030</v>
      </c>
      <c r="X43" s="262"/>
    </row>
    <row r="44" spans="5:24" ht="30" customHeight="1" x14ac:dyDescent="0.2">
      <c r="E44" s="320" t="s">
        <v>184</v>
      </c>
      <c r="F44" s="324">
        <f>K36</f>
        <v>110</v>
      </c>
      <c r="G44" s="324">
        <f>F44+($K$44-$F44)/5</f>
        <v>111.1222211022</v>
      </c>
      <c r="H44" s="324">
        <f>G44+($K$44-$F44)/5</f>
        <v>112.2444422044</v>
      </c>
      <c r="I44" s="324">
        <f>H44+($K$44-$F44)/5</f>
        <v>113.3666633066</v>
      </c>
      <c r="J44" s="324">
        <f>I44+($K$44-$F44)/5</f>
        <v>114.4888844088</v>
      </c>
      <c r="K44" s="324">
        <f>L36</f>
        <v>115.61110551099999</v>
      </c>
      <c r="L44" s="324">
        <f>K44+($P$44-$K44)/5</f>
        <v>116.79057116784649</v>
      </c>
      <c r="M44" s="324">
        <f>L44+($P$44-$K44)/5</f>
        <v>117.970036824693</v>
      </c>
      <c r="N44" s="324">
        <f>M44+($P$44-$K44)/5</f>
        <v>119.1495024815395</v>
      </c>
      <c r="O44" s="324">
        <f>N44+($P$44-$K44)/5</f>
        <v>120.328968138386</v>
      </c>
      <c r="P44" s="324">
        <f>M36</f>
        <v>121.50843379523252</v>
      </c>
      <c r="Q44" s="324">
        <f>P44+($U$44-$P44)/5</f>
        <v>122.74806405432598</v>
      </c>
      <c r="R44" s="324">
        <f>Q44+($U$44-$P44)/5</f>
        <v>123.98769431341944</v>
      </c>
      <c r="S44" s="324">
        <f>R44+($U$44-$P44)/5</f>
        <v>125.2273245725129</v>
      </c>
      <c r="T44" s="324">
        <f>S44+($U$44-$P44)/5</f>
        <v>126.46695483160636</v>
      </c>
      <c r="U44" s="325">
        <f>N36</f>
        <v>127.70658509069983</v>
      </c>
      <c r="X44" s="262"/>
    </row>
    <row r="45" spans="5:24" ht="30" customHeight="1" thickBot="1" x14ac:dyDescent="0.25">
      <c r="E45" s="321" t="s">
        <v>185</v>
      </c>
      <c r="F45" s="317">
        <f>K37</f>
        <v>42</v>
      </c>
      <c r="G45" s="317">
        <f>F45+($K$45-$F45)/5</f>
        <v>42.42848442084</v>
      </c>
      <c r="H45" s="317">
        <f>G45+($K$45-$F45)/5</f>
        <v>42.856968841680001</v>
      </c>
      <c r="I45" s="317">
        <f>H45+($K$45-$F45)/5</f>
        <v>43.285453262520001</v>
      </c>
      <c r="J45" s="317">
        <f>I45+($K$45-$F45)/5</f>
        <v>43.713937683360001</v>
      </c>
      <c r="K45" s="317">
        <f>L37</f>
        <v>44.142422104199994</v>
      </c>
      <c r="L45" s="317">
        <f>K45+($P$45-$K45)/5</f>
        <v>44.592763536814118</v>
      </c>
      <c r="M45" s="317">
        <f>L45+($P$45-$K45)/5</f>
        <v>45.043104969428242</v>
      </c>
      <c r="N45" s="317">
        <f>M45+($P$45-$K45)/5</f>
        <v>45.493446402042366</v>
      </c>
      <c r="O45" s="317">
        <f>N45+($P$45-$K45)/5</f>
        <v>45.94378783465649</v>
      </c>
      <c r="P45" s="317">
        <f>M37</f>
        <v>46.3941292672706</v>
      </c>
      <c r="Q45" s="317">
        <f>P45+($U$45-$P45)/5</f>
        <v>46.867442638924466</v>
      </c>
      <c r="R45" s="317">
        <f>Q45+($U$45-$P45)/5</f>
        <v>47.340756010578332</v>
      </c>
      <c r="S45" s="317">
        <f>R45+($U$45-$P45)/5</f>
        <v>47.814069382232198</v>
      </c>
      <c r="T45" s="317">
        <f>S45+($U$45-$P45)/5</f>
        <v>48.287382753886064</v>
      </c>
      <c r="U45" s="318">
        <f>N37</f>
        <v>48.760696125539937</v>
      </c>
      <c r="X45" s="262"/>
    </row>
    <row r="46" spans="5:24" ht="30" customHeight="1" thickTop="1" x14ac:dyDescent="0.2">
      <c r="E46" s="406" t="s">
        <v>188</v>
      </c>
      <c r="F46" s="313">
        <f>IF('Price evolution'!F40&gt;0,'Price evolution'!F40,0)</f>
        <v>4.0291176470588228</v>
      </c>
      <c r="G46" s="313">
        <f>IF(Input!$E$16&lt;H43,IF(Input!$E$14="Yes",$K$46/$K$44*G44,$K$46/$K$45*G45),0)</f>
        <v>4.0702227456658751</v>
      </c>
      <c r="H46" s="313">
        <f>IF(Input!$E$16&lt;I43,IF(Input!$E$14="Yes",$K$46/$K$44*H44,$K$46/$K$45*H45),0)</f>
        <v>4.1113278442729282</v>
      </c>
      <c r="I46" s="313">
        <f>IF(Input!$E$16&lt;J43,IF(Input!$E$14="Yes",$K$46/$K$44*I44,$K$46/$K$45*I45),0)</f>
        <v>4.1524329428799813</v>
      </c>
      <c r="J46" s="313">
        <f>IF(Input!$E$16&lt;K43,IF(Input!$E$14="Yes",$K$46/$K$44*J44,$K$46/$K$45*J45),0)</f>
        <v>4.1935380414870345</v>
      </c>
      <c r="K46" s="313">
        <f>IF('Price evolution'!G40&gt;0,IF('Price evolution'!G40="Table below",IF(Input!$E$14="Yes",F46/F44*K44,F46/F45*K45),'Price evolution'!G40),0)</f>
        <v>4.2346431400940867</v>
      </c>
      <c r="L46" s="313">
        <f>IF(Input!$E$16&lt;M43,IF(Input!$E$14="Yes",$P$46/$P$44*L44,$P$46/$P$45*L45),0)</f>
        <v>4.2778450118404505</v>
      </c>
      <c r="M46" s="313">
        <f>IF(Input!$E$16&lt;N43,IF(Input!$E$14="Yes",$P$46/$P$44*M44,$P$46/$P$45*M45),0)</f>
        <v>4.3210468835868152</v>
      </c>
      <c r="N46" s="313">
        <f>IF(Input!$E$16&lt;O43,IF(Input!$E$14="Yes",$P$46/$P$44*N44,$P$46/$P$45*N45),0)</f>
        <v>4.3642487553331799</v>
      </c>
      <c r="O46" s="313">
        <f>IF(Input!$E$16&lt;P43,IF(Input!$E$14="Yes",$P$46/$P$44*O44,$P$46/$P$45*O45),0)</f>
        <v>4.4074506270795446</v>
      </c>
      <c r="P46" s="313">
        <f>IF('Price evolution'!H40&gt;0,IF('Price evolution'!H40="Table below",IF(Input!$E$14="Yes",K46/K44*P44,K46/K45*P45),'Price evolution'!H40),0)</f>
        <v>4.4506524988259084</v>
      </c>
      <c r="Q46" s="313">
        <f>IF(Input!$E$16&lt;R43,IF(Input!$E$14="Yes",$U$46/$U$44*Q44,$U$46/$U$45*Q45),0)</f>
        <v>4.4960581002144675</v>
      </c>
      <c r="R46" s="313">
        <f>IF(Input!$E$16&lt;S43,IF(Input!$E$14="Yes",$U$46/$U$44*R44,$U$46/$U$45*R45),0)</f>
        <v>4.5414637016030275</v>
      </c>
      <c r="S46" s="313">
        <f>IF(Input!$E$16&lt;T43,IF(Input!$E$14="Yes",$U$46/$U$44*S44,$U$46/$U$45*S45),0)</f>
        <v>4.5868693029915866</v>
      </c>
      <c r="T46" s="313">
        <f>IF(Input!$E$16&lt;U43,IF(Input!$E$14="Yes",$U$46/$U$44*T44,$U$46/$U$45*T45),0)</f>
        <v>4.6322749043801466</v>
      </c>
      <c r="U46" s="326">
        <f>IF('Price evolution'!I40&gt;0,IF('Price evolution'!I40="Table below",IF(Input!$E$14="Yes",P46/P44*U44,P46/P45*U45),'Price evolution'!I40),0)</f>
        <v>4.6776805057687065</v>
      </c>
      <c r="X46" s="262"/>
    </row>
    <row r="47" spans="5:24" ht="30" customHeight="1" thickBot="1" x14ac:dyDescent="0.25">
      <c r="E47" s="316" t="s">
        <v>155</v>
      </c>
      <c r="F47" s="314">
        <f>IF('Price evolution'!F41&gt;0,'Price evolution'!F41,0)</f>
        <v>0.82999999999999985</v>
      </c>
      <c r="G47" s="314">
        <f>IF(Input!$E$16&lt;H43,$K$47,0)</f>
        <v>0.82999999999999985</v>
      </c>
      <c r="H47" s="314">
        <f>IF(Input!$E$16&lt;I43,$K$47,0)</f>
        <v>0.82999999999999985</v>
      </c>
      <c r="I47" s="314">
        <f>IF(Input!$E$16&lt;J43,$K$47,0)</f>
        <v>0.82999999999999985</v>
      </c>
      <c r="J47" s="314">
        <f>IF(Input!$E$16&lt;K43,$K$47,0)</f>
        <v>0.82999999999999985</v>
      </c>
      <c r="K47" s="314">
        <f>IF('Price evolution'!G41&gt;0,IF('Price evolution'!G41="Table below",F47,'Price evolution'!G41),0)</f>
        <v>0.82999999999999985</v>
      </c>
      <c r="L47" s="314">
        <f>IF(Input!$E$16&lt;M43,$P$47,0)</f>
        <v>0.82999999999999985</v>
      </c>
      <c r="M47" s="314">
        <f>IF(Input!$E$16&lt;N43,$P$47,0)</f>
        <v>0.82999999999999985</v>
      </c>
      <c r="N47" s="314">
        <f>IF(Input!$E$16&lt;O43,$P$47,0)</f>
        <v>0.82999999999999985</v>
      </c>
      <c r="O47" s="314">
        <f>IF(Input!$E$16&lt;P43,$P$47,0)</f>
        <v>0.82999999999999985</v>
      </c>
      <c r="P47" s="314">
        <f>IF('Price evolution'!H41&gt;0,IF('Price evolution'!H41="Table below",K47,'Price evolution'!H41),0)</f>
        <v>0.82999999999999985</v>
      </c>
      <c r="Q47" s="314">
        <f>IF(Input!$E$16&lt;R43,$U$47,0)</f>
        <v>0.82999999999999985</v>
      </c>
      <c r="R47" s="314">
        <f>IF(Input!$E$16&lt;S43,$U$47,0)</f>
        <v>0.82999999999999985</v>
      </c>
      <c r="S47" s="314">
        <f>IF(Input!$E$16&lt;T43,$U$47,0)</f>
        <v>0.82999999999999985</v>
      </c>
      <c r="T47" s="314">
        <f>IF(Input!$E$16&lt;U43,$U$47,0)</f>
        <v>0.82999999999999985</v>
      </c>
      <c r="U47" s="315">
        <f>IF('Price evolution'!I41&gt;0,IF('Price evolution'!I41="Table below",P47,'Price evolution'!I41),0)</f>
        <v>0.82999999999999985</v>
      </c>
      <c r="X47" s="262"/>
    </row>
    <row r="48" spans="5:24" ht="40.15" customHeight="1" thickTop="1" thickBot="1" x14ac:dyDescent="0.25">
      <c r="E48" s="66" t="s">
        <v>183</v>
      </c>
      <c r="F48" s="327">
        <f>IF(Input!$E$59&gt;0,Input!$E$59*(1+Input!$E$60)^('Price evolution'!F43-'Price evolution'!$F$43),F47+F46)</f>
        <v>4.8591176470588229</v>
      </c>
      <c r="G48" s="327">
        <f>IF(Input!$E$59&gt;0,Input!$E$59*(1+Input!$E$60)^('Price evolution'!G43-'Price evolution'!$F$43),G47+G46)</f>
        <v>4.8998731372173303</v>
      </c>
      <c r="H48" s="327">
        <f>IF(Input!$E$59&gt;0,Input!$E$59*(1+Input!$E$60)^('Price evolution'!H43-'Price evolution'!$F$43),H47+H46)</f>
        <v>4.9409704610375655</v>
      </c>
      <c r="I48" s="327">
        <f>IF(Input!$E$59&gt;0,Input!$E$59*(1+Input!$E$60)^('Price evolution'!I43-'Price evolution'!$F$43),I47+I46)</f>
        <v>4.9824124856241045</v>
      </c>
      <c r="J48" s="327">
        <f>IF(Input!$E$59&gt;0,Input!$E$59*(1+Input!$E$60)^('Price evolution'!J43-'Price evolution'!$F$43),J47+J46)</f>
        <v>5.0242021021291476</v>
      </c>
      <c r="K48" s="327">
        <f>IF(Input!$E$59&gt;0,Input!$E$59*(1+Input!$E$60)^('Price evolution'!K43-'Price evolution'!$F$43),K47+K46)</f>
        <v>5.0663422259542248</v>
      </c>
      <c r="L48" s="327">
        <f>IF(Input!$E$59&gt;0,Input!$E$59*(1+Input!$E$60)^('Price evolution'!L43-'Price evolution'!$F$43),L47+L46)</f>
        <v>5.1088357969535796</v>
      </c>
      <c r="M48" s="327">
        <f>IF(Input!$E$59&gt;0,Input!$E$59*(1+Input!$E$60)^('Price evolution'!M43-'Price evolution'!$F$43),M47+M46)</f>
        <v>5.151685779639263</v>
      </c>
      <c r="N48" s="327">
        <f>IF(Input!$E$59&gt;0,Input!$E$59*(1+Input!$E$60)^('Price evolution'!N43-'Price evolution'!$F$43),N47+N46)</f>
        <v>5.1948951633879563</v>
      </c>
      <c r="O48" s="327">
        <f>IF(Input!$E$59&gt;0,Input!$E$59*(1+Input!$E$60)^('Price evolution'!O43-'Price evolution'!$F$43),O47+O46)</f>
        <v>5.2384669626495137</v>
      </c>
      <c r="P48" s="327">
        <f>IF(Input!$E$59&gt;0,Input!$E$59*(1+Input!$E$60)^('Price evolution'!P43-'Price evolution'!$F$43),P47+P46)</f>
        <v>5.2824042171572652</v>
      </c>
      <c r="Q48" s="327">
        <f>IF(Input!$E$59&gt;0,Input!$E$59*(1+Input!$E$60)^('Price evolution'!Q43-'Price evolution'!$F$43),Q47+Q46)</f>
        <v>5.3267099921400805</v>
      </c>
      <c r="R48" s="327">
        <f>IF(Input!$E$59&gt;0,Input!$E$59*(1+Input!$E$60)^('Price evolution'!R43-'Price evolution'!$F$43),R47+R46)</f>
        <v>5.3713873785362063</v>
      </c>
      <c r="S48" s="327">
        <f>IF(Input!$E$59&gt;0,Input!$E$59*(1+Input!$E$60)^('Price evolution'!S43-'Price evolution'!$F$43),S47+S46)</f>
        <v>5.4164394932089124</v>
      </c>
      <c r="T48" s="327">
        <f>IF(Input!$E$59&gt;0,Input!$E$59*(1+Input!$E$60)^('Price evolution'!T43-'Price evolution'!$F$43),T47+T46)</f>
        <v>5.4618694791639237</v>
      </c>
      <c r="U48" s="548">
        <f>IF(Input!$E$59&gt;0,Input!$E$59*(1+Input!$E$60)^('Price evolution'!U43-'Price evolution'!$F$43),U47+U46)</f>
        <v>5.5076805057686933</v>
      </c>
      <c r="V48" s="681">
        <f>((U46+U47)/(F46+F47))^(1/(U43-F43))-1</f>
        <v>8.3874260964182934E-3</v>
      </c>
      <c r="X48" s="262"/>
    </row>
    <row r="49" spans="4:33" ht="39.6" customHeight="1" thickTop="1" thickBot="1" x14ac:dyDescent="0.25">
      <c r="E49" s="356"/>
      <c r="F49" s="361"/>
      <c r="J49" s="9"/>
    </row>
    <row r="50" spans="4:33" ht="19.899999999999999" customHeight="1" x14ac:dyDescent="0.2">
      <c r="D50" s="27"/>
      <c r="E50" s="9"/>
      <c r="F50" s="896" t="s">
        <v>0</v>
      </c>
      <c r="G50" s="897"/>
      <c r="H50" s="328">
        <v>0</v>
      </c>
      <c r="I50" s="329">
        <v>0</v>
      </c>
      <c r="J50" s="329">
        <v>0</v>
      </c>
      <c r="K50" s="330">
        <v>0</v>
      </c>
      <c r="O50" s="896" t="s">
        <v>152</v>
      </c>
      <c r="P50" s="897"/>
      <c r="Q50" s="328">
        <v>-0.15</v>
      </c>
      <c r="R50" s="329">
        <v>-0.2</v>
      </c>
      <c r="S50" s="329">
        <v>-0.25</v>
      </c>
      <c r="T50" s="330">
        <v>-0.3</v>
      </c>
      <c r="U50"/>
      <c r="V50"/>
      <c r="W50"/>
      <c r="X50"/>
      <c r="Y50"/>
      <c r="Z50"/>
      <c r="AA50"/>
      <c r="AB50"/>
      <c r="AC50"/>
      <c r="AD50"/>
      <c r="AE50"/>
      <c r="AF50"/>
      <c r="AG50"/>
    </row>
    <row r="51" spans="4:33" ht="19.899999999999999" customHeight="1" thickBot="1" x14ac:dyDescent="0.25">
      <c r="D51" s="27"/>
      <c r="E51" s="9"/>
      <c r="F51" s="898"/>
      <c r="G51" s="899"/>
      <c r="H51" s="331">
        <v>0</v>
      </c>
      <c r="I51" s="332">
        <v>0</v>
      </c>
      <c r="J51" s="332">
        <v>0</v>
      </c>
      <c r="K51" s="333">
        <v>0</v>
      </c>
      <c r="O51" s="898"/>
      <c r="P51" s="899"/>
      <c r="Q51" s="331">
        <v>-0.15</v>
      </c>
      <c r="R51" s="332">
        <v>-0.2</v>
      </c>
      <c r="S51" s="332">
        <v>-0.25</v>
      </c>
      <c r="T51" s="333">
        <f>-30%</f>
        <v>-0.3</v>
      </c>
      <c r="U51"/>
      <c r="V51"/>
      <c r="W51"/>
      <c r="X51"/>
      <c r="Y51"/>
      <c r="Z51"/>
      <c r="AA51"/>
      <c r="AB51"/>
      <c r="AC51"/>
      <c r="AD51"/>
      <c r="AE51"/>
      <c r="AF51"/>
      <c r="AG51"/>
    </row>
    <row r="52" spans="4:33" ht="13.5" thickBot="1" x14ac:dyDescent="0.25">
      <c r="D52" s="27"/>
      <c r="E52" s="9"/>
      <c r="F52" s="27"/>
      <c r="G52" s="27"/>
      <c r="H52" s="27"/>
      <c r="I52"/>
      <c r="J52"/>
      <c r="K52"/>
      <c r="L52" s="27"/>
      <c r="M52"/>
      <c r="N52"/>
      <c r="O52"/>
      <c r="P52"/>
      <c r="Q52"/>
      <c r="R52"/>
      <c r="S52"/>
      <c r="T52"/>
      <c r="U52"/>
      <c r="V52"/>
      <c r="W52"/>
      <c r="X52"/>
      <c r="Y52"/>
      <c r="Z52"/>
      <c r="AA52"/>
      <c r="AB52"/>
      <c r="AC52"/>
      <c r="AD52"/>
      <c r="AE52"/>
      <c r="AF52"/>
      <c r="AG52"/>
    </row>
    <row r="53" spans="4:33" ht="19.899999999999999" customHeight="1" x14ac:dyDescent="0.2">
      <c r="D53" s="27"/>
      <c r="E53" s="9"/>
      <c r="F53" s="896" t="s">
        <v>113</v>
      </c>
      <c r="G53" s="897"/>
      <c r="H53" s="328">
        <v>-0.1</v>
      </c>
      <c r="I53" s="329">
        <v>-0.1</v>
      </c>
      <c r="J53" s="329">
        <v>-0.1</v>
      </c>
      <c r="K53" s="330">
        <v>-0.1</v>
      </c>
      <c r="O53" s="896" t="s">
        <v>114</v>
      </c>
      <c r="P53" s="897"/>
      <c r="Q53" s="328">
        <v>0.1</v>
      </c>
      <c r="R53" s="329">
        <v>0.1</v>
      </c>
      <c r="S53" s="329">
        <v>0.1</v>
      </c>
      <c r="T53" s="330">
        <v>0.1</v>
      </c>
    </row>
    <row r="54" spans="4:33" ht="19.899999999999999" customHeight="1" thickBot="1" x14ac:dyDescent="0.25">
      <c r="D54" s="27"/>
      <c r="E54" s="9"/>
      <c r="F54" s="898"/>
      <c r="G54" s="899"/>
      <c r="H54" s="331">
        <v>-0.1</v>
      </c>
      <c r="I54" s="332">
        <v>-0.1</v>
      </c>
      <c r="J54" s="332">
        <v>-0.1</v>
      </c>
      <c r="K54" s="333">
        <v>-0.1</v>
      </c>
      <c r="O54" s="898"/>
      <c r="P54" s="899"/>
      <c r="Q54" s="331">
        <v>0.1</v>
      </c>
      <c r="R54" s="332">
        <v>0.1</v>
      </c>
      <c r="S54" s="332">
        <v>0.1</v>
      </c>
      <c r="T54" s="333">
        <v>0.1</v>
      </c>
      <c r="U54"/>
      <c r="V54"/>
      <c r="W54"/>
      <c r="X54"/>
      <c r="Y54"/>
      <c r="Z54"/>
      <c r="AA54"/>
      <c r="AB54"/>
      <c r="AC54"/>
      <c r="AD54"/>
      <c r="AE54"/>
      <c r="AF54"/>
      <c r="AG54"/>
    </row>
  </sheetData>
  <sheetProtection selectLockedCells="1" selectUnlockedCells="1"/>
  <mergeCells count="13">
    <mergeCell ref="F53:G54"/>
    <mergeCell ref="O53:P54"/>
    <mergeCell ref="O50:P51"/>
    <mergeCell ref="F30:G30"/>
    <mergeCell ref="F31:G31"/>
    <mergeCell ref="F32:G32"/>
    <mergeCell ref="F33:G33"/>
    <mergeCell ref="D24:D25"/>
    <mergeCell ref="D8:D19"/>
    <mergeCell ref="N28:O28"/>
    <mergeCell ref="F28:G28"/>
    <mergeCell ref="F50:G51"/>
    <mergeCell ref="I28:M28"/>
  </mergeCells>
  <dataValidations count="1">
    <dataValidation allowBlank="1" sqref="F31:F33 F40:I41 F9:F19 P19 K19 U19 U13 U10 P10:P11 K10 Q15:T15 U15:U16 P13:P16 K13:K16 G15:J15 L15:O15"/>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Contents</vt:lpstr>
      <vt:lpstr>Introduction</vt:lpstr>
      <vt:lpstr>Input</vt:lpstr>
      <vt:lpstr>Results</vt:lpstr>
      <vt:lpstr>Further assumptions</vt:lpstr>
      <vt:lpstr>Cost analysis</vt:lpstr>
      <vt:lpstr>Environmental analysis</vt:lpstr>
      <vt:lpstr>Data &gt;&gt;&gt;</vt:lpstr>
      <vt:lpstr>Price evolution</vt:lpstr>
      <vt:lpstr>Infrastructure options</vt:lpstr>
      <vt:lpstr>Contents!Print_Area</vt:lpstr>
      <vt:lpstr>'Cost analysis'!Print_Area</vt:lpstr>
      <vt:lpstr>'Environmental analysis'!Print_Area</vt:lpstr>
      <vt:lpstr>'Further assumptions'!Print_Area</vt:lpstr>
      <vt:lpstr>Input!Print_Area</vt:lpstr>
      <vt:lpstr>Introduction!Print_Area</vt:lpstr>
      <vt:lpstr>Results!Print_Area</vt:lpstr>
    </vt:vector>
  </TitlesOfParts>
  <Company>Roland Berger Strategy Consultants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razvan dumitru</dc:creator>
  <cp:lastModifiedBy>M702441</cp:lastModifiedBy>
  <cp:lastPrinted>2014-08-12T20:11:10Z</cp:lastPrinted>
  <dcterms:created xsi:type="dcterms:W3CDTF">2012-02-29T08:15:45Z</dcterms:created>
  <dcterms:modified xsi:type="dcterms:W3CDTF">2015-10-23T06:58:36Z</dcterms:modified>
</cp:coreProperties>
</file>